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8800" windowHeight="11835" tabRatio="409"/>
  </bookViews>
  <sheets>
    <sheet name="SAMIR_ex_blé TLS" sheetId="1" r:id="rId1"/>
    <sheet name="Mode d'emploi" sheetId="2" r:id="rId2"/>
  </sheets>
  <definedNames>
    <definedName name="a_fc" localSheetId="0">'SAMIR_ex_blé TLS'!$B$5</definedName>
    <definedName name="a_kcb" localSheetId="0">'SAMIR_ex_blé TLS'!$B$7</definedName>
    <definedName name="b_fc" localSheetId="0">'SAMIR_ex_blé TLS'!$C$5</definedName>
    <definedName name="b_kcb" localSheetId="0">'SAMIR_ex_blé TLS'!$C$7</definedName>
    <definedName name="dec_vide_TAW" localSheetId="0">'SAMIR_ex_blé TLS'!$O$7</definedName>
    <definedName name="DiffE" localSheetId="0">'SAMIR_ex_blé TLS'!$K$11</definedName>
    <definedName name="DiffR" localSheetId="0">'SAMIR_ex_blé TLS'!$J$11</definedName>
    <definedName name="Durpla" localSheetId="0">'SAMIR_ex_blé TLS'!$E$5</definedName>
    <definedName name="fcmax" localSheetId="0">'SAMIR_ex_blé TLS'!$D$5</definedName>
    <definedName name="fc_fin" localSheetId="0">'SAMIR_ex_blé TLS'!$F$5</definedName>
    <definedName name="fw" localSheetId="0">'SAMIR_ex_blé TLS'!$N$7</definedName>
    <definedName name="Init_RU" localSheetId="0">'SAMIR_ex_blé TLS'!$L$11</definedName>
    <definedName name="Irri_auto" localSheetId="0">'SAMIR_ex_blé TLS'!$M$7</definedName>
    <definedName name="Irri_man" localSheetId="0">'SAMIR_ex_blé TLS'!$L$7</definedName>
    <definedName name="Kcbmax_stop_irrig" localSheetId="0">'SAMIR_ex_blé TLS'!$N$5</definedName>
    <definedName name="Kcbmid" localSheetId="0">'SAMIR_ex_blé TLS'!$D$7</definedName>
    <definedName name="Kcbmin_start_irrig" localSheetId="0">'SAMIR_ex_blé TLS'!$M$5</definedName>
    <definedName name="Kcmax" localSheetId="0">'SAMIR_ex_blé TLS'!$E$7</definedName>
    <definedName name="Lame_max" localSheetId="0">'SAMIR_ex_blé TLS'!$L$5</definedName>
    <definedName name="lig_kcbmax" localSheetId="0">'SAMIR_ex_blé TLS'!$O$5</definedName>
    <definedName name="Lig_max" localSheetId="0">'SAMIR_ex_blé TLS'!$J$5</definedName>
    <definedName name="Lig_min" localSheetId="0">'SAMIR_ex_blé TLS'!$J$4</definedName>
    <definedName name="Max_fc_pour_Zrmax" localSheetId="0">'SAMIR_ex_blé TLS'!$G$5</definedName>
    <definedName name="Moy_Etobs" localSheetId="0">'SAMIR_ex_blé TLS'!$J$6</definedName>
    <definedName name="NDVImax" localSheetId="0">'SAMIR_ex_blé TLS'!$F$3</definedName>
    <definedName name="NDVIsolnu" localSheetId="0">'SAMIR_ex_blé TLS'!$D$3</definedName>
    <definedName name="NDVIvegmax" localSheetId="0">'SAMIR_ex_blé TLS'!$E$3</definedName>
    <definedName name="p" localSheetId="0">'SAMIR_ex_blé TLS'!$F$11</definedName>
    <definedName name="REW" localSheetId="0">'SAMIR_ex_blé TLS'!$C$11</definedName>
    <definedName name="solver_adj" localSheetId="0">'SAMIR_ex_blé TLS'!$G$9,'SAMIR_ex_blé TLS'!$E$9,'SAMIR_ex_blé TLS'!$D$7,'SAMIR_ex_blé TLS'!$C$9</definedName>
    <definedName name="solver_cvg" localSheetId="0">0.0001</definedName>
    <definedName name="solver_drv" localSheetId="0">1</definedName>
    <definedName name="solver_est" localSheetId="0">1</definedName>
    <definedName name="solver_itr" localSheetId="0">100</definedName>
    <definedName name="solver_lhs1" localSheetId="0">'SAMIR_ex_blé TLS'!$G$11</definedName>
    <definedName name="solver_lin" localSheetId="0">2</definedName>
    <definedName name="solver_neg" localSheetId="0">2</definedName>
    <definedName name="solver_num" localSheetId="0">1</definedName>
    <definedName name="solver_nwt" localSheetId="0">1</definedName>
    <definedName name="solver_opt" localSheetId="0">'SAMIR_ex_blé TLS'!$J$7</definedName>
    <definedName name="solver_pre" localSheetId="0">0.000001</definedName>
    <definedName name="solver_rel1" localSheetId="0">3</definedName>
    <definedName name="solver_rhs1" localSheetId="0">'SAMIR_ex_blé TLS'!Zr_max+1</definedName>
    <definedName name="solver_scl" localSheetId="0">2</definedName>
    <definedName name="solver_sho" localSheetId="0">2</definedName>
    <definedName name="solver_tim" localSheetId="0">100</definedName>
    <definedName name="solver_tol" localSheetId="0">0.05</definedName>
    <definedName name="solver_typ" localSheetId="0">1</definedName>
    <definedName name="solver_val" localSheetId="0">0</definedName>
    <definedName name="TEW" localSheetId="0">'SAMIR_ex_blé TLS'!$R$13</definedName>
    <definedName name="Wfc" localSheetId="0">'SAMIR_ex_blé TLS'!$H$11</definedName>
    <definedName name="Wwp" localSheetId="0">'SAMIR_ex_blé TLS'!$I$11</definedName>
    <definedName name="Ze" localSheetId="0">'SAMIR_ex_blé TLS'!$B$11</definedName>
    <definedName name="Zr_max" localSheetId="0">'SAMIR_ex_blé TLS'!$E$11</definedName>
    <definedName name="Zr_min" localSheetId="0">'SAMIR_ex_blé TLS'!$D$11</definedName>
    <definedName name="Z_sol" localSheetId="0">'SAMIR_ex_blé TLS'!$G$11</definedName>
  </definedNames>
  <calcPr calcId="144525"/>
</workbook>
</file>

<file path=xl/comments1.xml><?xml version="1.0" encoding="utf-8"?>
<comments xmlns="http://schemas.openxmlformats.org/spreadsheetml/2006/main">
  <authors>
    <author/>
  </authors>
  <commentList>
    <comment ref="O4" authorId="0">
      <text>
        <r>
          <rPr>
            <sz val="8"/>
            <color rgb="FF000000"/>
            <rFont val="Tahoma"/>
            <charset val="1"/>
          </rPr>
          <t>Auteur:
pour n'irriguer que le pic du max et ignorer les pics adventices.
=&gt; Différent de SAMIR IDL qui traite les cycles secondaires...</t>
        </r>
      </text>
    </comment>
    <comment ref="D10" authorId="0">
      <text>
        <r>
          <rPr>
            <sz val="8"/>
            <color rgb="FF000000"/>
            <rFont val="Tahoma"/>
            <charset val="1"/>
          </rPr>
          <t>Auteur:
C'est en fait le max de Ze et Zr_min qui est utilisé dans les calculs</t>
        </r>
      </text>
    </comment>
    <comment ref="AD15" authorId="0">
      <text>
        <r>
          <rPr>
            <sz val="8"/>
            <color rgb="FF000000"/>
            <rFont val="Tahoma"/>
            <charset val="1"/>
          </rPr>
          <t xml:space="preserve">Auteur:
</t>
        </r>
        <r>
          <rPr>
            <sz val="9"/>
            <color rgb="FF000000"/>
            <rFont val="Tahoma"/>
            <charset val="1"/>
          </rPr>
          <t>Pour la diffusion on utilise une TEW basée sur Wwp et non Wwp/2 pour avoir des teneurs en eau comparables au compartiment racinaire.
On recalcule aussi un De adhoc sur le même principe de RU comparables.</t>
        </r>
      </text>
    </comment>
  </commentList>
</comments>
</file>

<file path=xl/sharedStrings.xml><?xml version="1.0" encoding="utf-8"?>
<sst xmlns="http://schemas.openxmlformats.org/spreadsheetml/2006/main" count="185" uniqueCount="178">
  <si>
    <t>SAMIR bilan hydrique au pixel</t>
  </si>
  <si>
    <t>En gris les cellules à remplir</t>
  </si>
  <si>
    <t>Cellules d'initialisation à ne pas propager</t>
  </si>
  <si>
    <t>gris clair = valeur pour info</t>
  </si>
  <si>
    <t>Param. végétation</t>
  </si>
  <si>
    <t>NDVIsolnu</t>
  </si>
  <si>
    <t>NDVIvegmax</t>
  </si>
  <si>
    <t>Max NDVI (auto, affiché pour info)</t>
  </si>
  <si>
    <t>Param. irrigation</t>
  </si>
  <si>
    <t>NDVI-fc</t>
  </si>
  <si>
    <t>a_fc</t>
  </si>
  <si>
    <t>b_fc</t>
  </si>
  <si>
    <t>fcmax</t>
  </si>
  <si>
    <t>Durée max plateau (attention ! Le plateau ne fonctionne que pour le max principal…)</t>
  </si>
  <si>
    <t>Seuil fc fin plateau</t>
  </si>
  <si>
    <t>Max fc pour Zr (0=max pixel, 1=max theorique)</t>
  </si>
  <si>
    <t>Max fc (auto, pour info)</t>
  </si>
  <si>
    <t>Lig_min</t>
  </si>
  <si>
    <t>Lame max</t>
  </si>
  <si>
    <t>%Kcbmin start irrig</t>
  </si>
  <si>
    <t>%Kcbmax stop irrig</t>
  </si>
  <si>
    <t>Lig_Kcbmax (auto, affiché pour info)</t>
  </si>
  <si>
    <t>mm obs</t>
  </si>
  <si>
    <t>mm sim</t>
  </si>
  <si>
    <t>nb obs</t>
  </si>
  <si>
    <t>nb sim</t>
  </si>
  <si>
    <t>Lig_max</t>
  </si>
  <si>
    <t>NDVI-Kcb</t>
  </si>
  <si>
    <t>a_kcb</t>
  </si>
  <si>
    <t>b_kcb</t>
  </si>
  <si>
    <t>Kcmid</t>
  </si>
  <si>
    <t>Kcmax</t>
  </si>
  <si>
    <t>Max Kcb (auto, pour info)</t>
  </si>
  <si>
    <t xml:space="preserve"> </t>
  </si>
  <si>
    <t>Moy_ETobs</t>
  </si>
  <si>
    <t>Irri_man</t>
  </si>
  <si>
    <t>Irri_auto</t>
  </si>
  <si>
    <t>fw</t>
  </si>
  <si>
    <t>%TAW (-1 =&gt; RAW=0 ; [0-1] =&gt; % vide TAW)</t>
  </si>
  <si>
    <t>delta</t>
  </si>
  <si>
    <t>NASH</t>
  </si>
  <si>
    <t>Zsol : 0 / + (0 pas de Zd / Zd si valeur positive)</t>
  </si>
  <si>
    <t>Sto_init =</t>
  </si>
  <si>
    <t>Stock fin de Bilan</t>
  </si>
  <si>
    <t>Sto_fin =</t>
  </si>
  <si>
    <t>Param. sol</t>
  </si>
  <si>
    <t>Ze</t>
  </si>
  <si>
    <t>REW</t>
  </si>
  <si>
    <t>Zr_min</t>
  </si>
  <si>
    <t>Zr_max</t>
  </si>
  <si>
    <t>p</t>
  </si>
  <si>
    <t>Z_sol</t>
  </si>
  <si>
    <t>Wfc</t>
  </si>
  <si>
    <t>Wwp</t>
  </si>
  <si>
    <t>DiffR</t>
  </si>
  <si>
    <t>DiffE</t>
  </si>
  <si>
    <t>Init%RU</t>
  </si>
  <si>
    <t>Type Evap (1 = effet abri, 0 sans)</t>
  </si>
  <si>
    <t>Données de comparaison</t>
  </si>
  <si>
    <t>Evaporation</t>
  </si>
  <si>
    <t>Transpiration</t>
  </si>
  <si>
    <t>TEW</t>
  </si>
  <si>
    <t>DEPLETIONS</t>
  </si>
  <si>
    <t>Step 1 - Maj racine</t>
  </si>
  <si>
    <t>Step 2 - Maj R + irrig</t>
  </si>
  <si>
    <t>Step 3 - Maj ET + Diff + Te</t>
  </si>
  <si>
    <r>
      <rPr>
        <sz val="11"/>
        <color rgb="FF000000"/>
        <rFont val="Calibri"/>
        <charset val="1"/>
      </rPr>
      <t>(SAM-Obs)</t>
    </r>
    <r>
      <rPr>
        <vertAlign val="superscript"/>
        <sz val="11"/>
        <color rgb="FF000000"/>
        <rFont val="Calibri"/>
        <charset val="1"/>
      </rPr>
      <t>2</t>
    </r>
  </si>
  <si>
    <t>(Etm-Obs)2</t>
  </si>
  <si>
    <t>Date</t>
  </si>
  <si>
    <t>ET0</t>
  </si>
  <si>
    <t>Pluie</t>
  </si>
  <si>
    <t>NDVI</t>
  </si>
  <si>
    <t>Ir_obs</t>
  </si>
  <si>
    <t>Etobs</t>
  </si>
  <si>
    <t>fc</t>
  </si>
  <si>
    <t>Kcb</t>
  </si>
  <si>
    <t>ET</t>
  </si>
  <si>
    <t>Zr</t>
  </si>
  <si>
    <t>Zd</t>
  </si>
  <si>
    <t>TAW</t>
  </si>
  <si>
    <t>TDW</t>
  </si>
  <si>
    <t>Dei_1</t>
  </si>
  <si>
    <t>Dep_1</t>
  </si>
  <si>
    <t>Dr_1</t>
  </si>
  <si>
    <t>Dd_1</t>
  </si>
  <si>
    <t>Ir_auto</t>
  </si>
  <si>
    <t>Dei_2</t>
  </si>
  <si>
    <t>Dep_2</t>
  </si>
  <si>
    <t>Dr_2</t>
  </si>
  <si>
    <t>Dd_3</t>
  </si>
  <si>
    <t>DP</t>
  </si>
  <si>
    <t>Diff_rei</t>
  </si>
  <si>
    <t>Diff_rep</t>
  </si>
  <si>
    <t>Diff_dr</t>
  </si>
  <si>
    <t>Dei</t>
  </si>
  <si>
    <t>Dep</t>
  </si>
  <si>
    <t>Dr</t>
  </si>
  <si>
    <t>Dd</t>
  </si>
  <si>
    <t>SWC1</t>
  </si>
  <si>
    <t>SWC2</t>
  </si>
  <si>
    <t>SWC3</t>
  </si>
  <si>
    <t>Hvol1</t>
  </si>
  <si>
    <t>Hvol2</t>
  </si>
  <si>
    <t>Hvol3</t>
  </si>
  <si>
    <t>Hobs_1</t>
  </si>
  <si>
    <t>Hobs_2</t>
  </si>
  <si>
    <t>Hobs_3</t>
  </si>
  <si>
    <t>Hobs_4</t>
  </si>
  <si>
    <t>fewi</t>
  </si>
  <si>
    <t>fewp</t>
  </si>
  <si>
    <t>Kri</t>
  </si>
  <si>
    <t>Krp</t>
  </si>
  <si>
    <t>W</t>
  </si>
  <si>
    <t>Kei</t>
  </si>
  <si>
    <t>Kep</t>
  </si>
  <si>
    <t>E</t>
  </si>
  <si>
    <t>Ks</t>
  </si>
  <si>
    <t>T</t>
  </si>
  <si>
    <t>Tei</t>
  </si>
  <si>
    <t>Tep</t>
  </si>
  <si>
    <t>Manuel SAMIR excel</t>
  </si>
  <si>
    <t>(V. Simonneaux 25/04/2019)</t>
  </si>
  <si>
    <t>Cette feuille de calcul implémente la méthode FAO-56 avec estimation des Kcb et fc au moyen d’une série temporelle de NDVI. Les paramètres sont dans les premières lignes (1 à 11), puis à partir de la ligne 13 on a en colonne les données d’entrée et les variables calculées</t>
  </si>
  <si>
    <t>Code couleur</t>
  </si>
  <si>
    <t>Gris les cellules à remplir par l’utilisateur</t>
  </si>
  <si>
    <t>Vert : paramètres végétation</t>
  </si>
  <si>
    <t>Orange paramètres sol</t>
  </si>
  <si>
    <t>Bleu paramètres irrigation</t>
  </si>
  <si>
    <t>Blanc : valeur pour info (ne pas modifier)</t>
  </si>
  <si>
    <t>Jaunes : valeurs pour info (ne pas modifier)</t>
  </si>
  <si>
    <t>En général, le nom du paramètre dans la cellule colorée, puis la valeur juste en dessous. ATTENTION, pour la calibration avec le solveur, il faut que les paramètres aient des valeurs similaires, on fait donc des changements de variables pour qu’ils soient autour de 1 (approximatif), il faut donc remplir parfois les cellules grises juste au dessus du titre (paramètres Ze, REW, Zr_max, Z_sol, DiffR, DiffE), celles en dessous du titre en blanc affichant les valeurs réelles associées.</t>
  </si>
  <si>
    <t>Une fois remplies les case grises, il faut s’assurer de propager les autres colonnes jusqu’au dernier jour de la simulation. ATTENTION, ne pas propager les cellules rouges à partir de ligne 13, mais commencer juste en dessous (ce sont des formules spécifiques d’initialisation).</t>
  </si>
  <si>
    <t>Paramètres végétation</t>
  </si>
  <si>
    <t>On estime les relations linéaires NDVI-fc et NDVI-Kcb à partir de deux points caractéristiques : le sol nu et la végétation maximale. Pour ces deux points on introduit :</t>
  </si>
  <si>
    <t>- le NDVI du sol nu et NDVI de la végétation maximale (obtenus en observant les images typiquement)</t>
  </si>
  <si>
    <t>- le fc min invisible est considéré à 0 par défaut</t>
  </si>
  <si>
    <t>- le fc max (typiquement 1 pour des céréales, moins pour du maraichage)</t>
  </si>
  <si>
    <t>Plateau de fc (pour prendre en compte l’effet écran à l’évaporation de la végétation seche) : on définit la durée max du plateau ici 70, et le seuil de fc en dessous duquel on arrête le plateau même si durée max pas atteinte (0,15 ici)</t>
  </si>
  <si>
    <t>- le Kcb min invisible car par défaut à 0 (hypothèse simplificatrice de nbx auteurs qui considèrent Kcb_ini =0 pour que Kcb ne corresponde qu’à la transpiration)</t>
  </si>
  <si>
    <t>- Kcmid = Kcb max (on peut utiliser le Kcmid du doc FAO typiquement)</t>
  </si>
  <si>
    <t>- Kcmax de la FAO (par défaut 1,15)</t>
  </si>
  <si>
    <t>Les pente et ordonnée à l’origine des relations sont alors calculées automatiquement (cellules blanches de gauche</t>
  </si>
  <si>
    <t>Paramètres sol</t>
  </si>
  <si>
    <t>On retrouve les paramètres FAO, sauf :</t>
  </si>
  <si>
    <r>
      <rPr>
        <sz val="11"/>
        <color rgb="FF000000"/>
        <rFont val="Calibri"/>
        <charset val="1"/>
      </rPr>
      <t>- REW qui peut ici avoir des valeurs négatives pour tenir compte du fait que l’E FAO est souvent surestimée. On évite la solution inélégante de la variable supplémentaire « m » de Torres, la solution REW négatif est strictement équivalente (on peut calculer le m correspondant au REW négatif si on doit publier </t>
    </r>
    <r>
      <rPr>
        <sz val="11"/>
        <color rgb="FF000000"/>
        <rFont val="Wingdings"/>
        <charset val="2"/>
      </rPr>
      <t>J</t>
    </r>
  </si>
  <si>
    <t>- Zsol qui ajoute un compartiment profond sous la zone racinaire d’épaisseur Zd (Zd = Ztot-Zr) permet de réalimenter la zone racinaire par diffusion). Si on souhaite coller à la FAO on indique 0, sinon une valeur Ztot&gt;Zr</t>
  </si>
  <si>
    <t>- Wfc teneur en eau capacité au champ</t>
  </si>
  <si>
    <t>- Wwp point de flétrissement</t>
  </si>
  <si>
    <t>- DiffE coeff de diffusion entre Ze et Zr, DiffR entre Zr et Zd. Ce sont des coeff sans unité et sans signification physique, en général valeur entre 1 et 20… (rôle souvent mineur dans la calibration)</t>
  </si>
  <si>
    <t>- init%RU humidité initial du sol (sur Ztot) entre 0 et 1.</t>
  </si>
  <si>
    <t>- Type eva : 0 par défaut (évaporation sur la fraction 1-fc), 1 si on souhaite introduire un effet ombrage c'est-à-dire une diminution de ET0 pour sol à  l’ombre. On multiplie simplement E finale par 1-fc (donc une seconde fois car déjà pris en compte avant). Cette solution bricolée pour un test rapide n’a pas été comparée aux différentes solutions que propose la FAO pour tenir compte des ombrages…</t>
  </si>
  <si>
    <t>Calcul du stock d’eau du sol initial et stock d’eau final (en mm) et comparaison avec stock final issu du bilan entrée-sortie sur toute la durée. On doit trouver la même chose pour le final, sinon ça signifie que le bilan ne boucle pas, donc qu’une erreur a été introduite dans les formules…</t>
  </si>
  <si>
    <t>Paramètres irrigation</t>
  </si>
  <si>
    <t>On doit introduire :</t>
  </si>
  <si>
    <t>- Lame maxi par tour d’eau</t>
  </si>
  <si>
    <t>- %Kcbmin : Kcb mini pour déclencher des irrigations (limite irrigation des adventices)</t>
  </si>
  <si>
    <t>- %Kcbmax : fraction du Kcb max atteint à partir duquel on arrete l’irrigaiton pendant la senescence (0,85 signifie qu’on arrête dès qu’on a 15 de chute par rapport au max, donc asses vite, c’est un réglage céréales)</t>
  </si>
  <si>
    <t>- irrig manuelle : 1 si on a introduit des valeurs observés dans la colonne données d’entrée, 0 sinon</t>
  </si>
  <si>
    <t>- irrig auto : 1 si on déclenche automatiquement les irrig, 0 sinon. On peut superposer auto à manuelle. Attention même si on met à 0, on verra sur le graphique apparaitre une irrigation auto si un besoin est calculé, mais elle ne sera pas appliquée (et va donc se répéter pendant un certain temps, mais sans effet)</t>
  </si>
  <si>
    <t>- fw : fraction de sol mouillé par irrigation</t>
  </si>
  <si>
    <t>- %TAW : critère de déclenchement. La valeur -1 (par défaut) signifie qu’on déclenche si RAW vide et on remplit le sol sans toutefois dépasser Lame max. une valeur entre 0 et 1 signifie déclenche pour un taux de remplissage de RAW (ex 0,2 il reste 20% d’eau dans TAW, donc stress)</t>
  </si>
  <si>
    <t>On affiche qlq stats sur les irrigations observées et simulées (cadre noir). Même les irrig manuelles ne sont pas utilisées (irrig_manuelle = 0), elles peuvent servir ici à évaluer les irrig auto (nb et lame totale)</t>
  </si>
  <si>
    <t>Données d’entrée</t>
  </si>
  <si>
    <t>Toutes les valeurs doivent être disponibles en journalier, en millimètres</t>
  </si>
  <si>
    <t>- ET0 : les valeurs journalières doivent être calculées avant</t>
  </si>
  <si>
    <t>- NDVI : doit être interpolé au pas de temps journalier…</t>
  </si>
  <si>
    <t>- Ir_obs : valeurs d’irrigation observées si disponibles</t>
  </si>
  <si>
    <t>- ETobs : valeurs observées pour calibration éventuelle</t>
  </si>
  <si>
    <t>Calibration</t>
  </si>
  <si>
    <t>On indique les lignes min et max correspondant au premier et dernier jour de la simulation pour lesquels est effectuée la calibration. C’est aussi sur cette période que sont calculées les stats dans les cellules jaunes.</t>
  </si>
  <si>
    <t>On calibre en utilisant le solveur Excel, on pointe le Nash à maximiser, et les paramètres (ou leur transformée) que l’on souhaite calibrer.</t>
  </si>
  <si>
    <t>On doit parfois introduire des conditions pour éviter des solutions aberrantes voire le plantage (ex  « Z_sol &gt;= Zr_max+0,1 », ici 0,1 pour ne pas mettre l’horizon Zd à 0 ce qui peu provoquer des erreurs excel)</t>
  </si>
  <si>
    <t>ATTENTION le solveur Excel est un peu poussif, il ne faut pas hésiter à lancer à partir de multiples config de paramètres de départ pour trouver la bonne solution</t>
  </si>
  <si>
    <t>Vérification de la fermeture du bilan</t>
  </si>
  <si>
    <t>Sto_init : stock d’eau du sol le premier jour de la simulation</t>
  </si>
  <si>
    <t>Sto_fin : stock d’eau du sol le dernier jour de la simulation</t>
  </si>
  <si>
    <t>Stock fin de bilan : stock final calculé à partir de sto_init et de la somme des entrées sortie</t>
  </si>
  <si>
    <t>Si le bilan boucle, les deux stocks finaux sont identiques, sinon cela signifie que les équations ont été maltraitées quelque part...</t>
  </si>
</sst>
</file>

<file path=xl/styles.xml><?xml version="1.0" encoding="utf-8"?>
<styleSheet xmlns="http://schemas.openxmlformats.org/spreadsheetml/2006/main">
  <numFmts count="7">
    <numFmt numFmtId="176" formatCode="0.0"/>
    <numFmt numFmtId="177" formatCode="0.0000"/>
    <numFmt numFmtId="178" formatCode="0.000"/>
    <numFmt numFmtId="44" formatCode="_-&quot;£&quot;* #,##0.00_-;\-&quot;£&quot;* #,##0.00_-;_-&quot;£&quot;* &quot;-&quot;??_-;_-@_-"/>
    <numFmt numFmtId="42" formatCode="_-&quot;£&quot;* #,##0_-;\-&quot;£&quot;* #,##0_-;_-&quot;£&quot;* &quot;-&quot;_-;_-@_-"/>
    <numFmt numFmtId="43" formatCode="_-* #,##0.00_-;\-* #,##0.00_-;_-* &quot;-&quot;??_-;_-@_-"/>
    <numFmt numFmtId="41" formatCode="_-* #,##0_-;\-* #,##0_-;_-* &quot;-&quot;_-;_-@_-"/>
  </numFmts>
  <fonts count="35">
    <font>
      <sz val="11"/>
      <color rgb="FF000000"/>
      <name val="Calibri"/>
      <charset val="1"/>
    </font>
    <font>
      <b/>
      <sz val="16"/>
      <color rgb="FF000000"/>
      <name val="Calibri"/>
      <charset val="1"/>
    </font>
    <font>
      <b/>
      <sz val="11"/>
      <color rgb="FF000000"/>
      <name val="Calibri"/>
      <charset val="1"/>
    </font>
    <font>
      <b/>
      <sz val="14"/>
      <color rgb="FF00A1DA"/>
      <name val="Cambria"/>
      <charset val="1"/>
    </font>
    <font>
      <b/>
      <sz val="12"/>
      <color rgb="FF000000"/>
      <name val="Calibri"/>
      <charset val="1"/>
    </font>
    <font>
      <b/>
      <sz val="11"/>
      <name val="Calibri"/>
      <charset val="1"/>
    </font>
    <font>
      <sz val="11"/>
      <name val="Calibri"/>
      <charset val="1"/>
    </font>
    <font>
      <sz val="11"/>
      <color rgb="FFA6A6A6"/>
      <name val="Calibri"/>
      <charset val="1"/>
    </font>
    <font>
      <sz val="11"/>
      <color rgb="FF969696"/>
      <name val="Calibri"/>
      <charset val="1"/>
    </font>
    <font>
      <sz val="11"/>
      <color rgb="FFC0C0C0"/>
      <name val="Calibri"/>
      <charset val="1"/>
    </font>
    <font>
      <u/>
      <sz val="11"/>
      <color rgb="FF0000FF"/>
      <name val="Calibri"/>
      <charset val="0"/>
      <scheme val="minor"/>
    </font>
    <font>
      <sz val="11"/>
      <color theme="0"/>
      <name val="Calibri"/>
      <charset val="0"/>
      <scheme val="minor"/>
    </font>
    <font>
      <sz val="10"/>
      <name val="Arial"/>
      <charset val="134"/>
    </font>
    <font>
      <u/>
      <sz val="11"/>
      <color rgb="FF800080"/>
      <name val="Calibri"/>
      <charset val="0"/>
      <scheme val="minor"/>
    </font>
    <font>
      <sz val="11"/>
      <color theme="1"/>
      <name val="Calibri"/>
      <charset val="0"/>
      <scheme val="minor"/>
    </font>
    <font>
      <b/>
      <sz val="11"/>
      <color theme="3"/>
      <name val="Calibri"/>
      <charset val="134"/>
      <scheme val="minor"/>
    </font>
    <font>
      <sz val="11"/>
      <color rgb="FF006100"/>
      <name val="Calibri"/>
      <charset val="0"/>
      <scheme val="minor"/>
    </font>
    <font>
      <b/>
      <sz val="11"/>
      <color rgb="FFFA7D00"/>
      <name val="Calibri"/>
      <charset val="0"/>
      <scheme val="minor"/>
    </font>
    <font>
      <sz val="11"/>
      <color theme="1"/>
      <name val="Calibri"/>
      <charset val="134"/>
      <scheme val="minor"/>
    </font>
    <font>
      <b/>
      <sz val="11"/>
      <color rgb="FF3F3F3F"/>
      <name val="Calibri"/>
      <charset val="0"/>
      <scheme val="minor"/>
    </font>
    <font>
      <b/>
      <sz val="13"/>
      <color theme="3"/>
      <name val="Calibri"/>
      <charset val="134"/>
      <scheme val="minor"/>
    </font>
    <font>
      <b/>
      <sz val="11"/>
      <color theme="1"/>
      <name val="Calibri"/>
      <charset val="0"/>
      <scheme val="minor"/>
    </font>
    <font>
      <sz val="11"/>
      <color rgb="FF9C0006"/>
      <name val="Calibri"/>
      <charset val="0"/>
      <scheme val="minor"/>
    </font>
    <font>
      <i/>
      <sz val="11"/>
      <color rgb="FF7F7F7F"/>
      <name val="Calibri"/>
      <charset val="0"/>
      <scheme val="minor"/>
    </font>
    <font>
      <sz val="11"/>
      <color rgb="FF9C6500"/>
      <name val="Calibri"/>
      <charset val="0"/>
      <scheme val="minor"/>
    </font>
    <font>
      <sz val="11"/>
      <color rgb="FFFA7D00"/>
      <name val="Calibri"/>
      <charset val="0"/>
      <scheme val="minor"/>
    </font>
    <font>
      <sz val="11"/>
      <color rgb="FF3F3F76"/>
      <name val="Calibri"/>
      <charset val="0"/>
      <scheme val="minor"/>
    </font>
    <font>
      <sz val="11"/>
      <color rgb="FFFF0000"/>
      <name val="Calibri"/>
      <charset val="0"/>
      <scheme val="minor"/>
    </font>
    <font>
      <b/>
      <sz val="15"/>
      <color theme="3"/>
      <name val="Calibri"/>
      <charset val="134"/>
      <scheme val="minor"/>
    </font>
    <font>
      <b/>
      <sz val="11"/>
      <color rgb="FFFFFFFF"/>
      <name val="Calibri"/>
      <charset val="0"/>
      <scheme val="minor"/>
    </font>
    <font>
      <b/>
      <sz val="18"/>
      <color theme="3"/>
      <name val="Calibri"/>
      <charset val="134"/>
      <scheme val="minor"/>
    </font>
    <font>
      <sz val="11"/>
      <color rgb="FF000000"/>
      <name val="Wingdings"/>
      <charset val="2"/>
    </font>
    <font>
      <vertAlign val="superscript"/>
      <sz val="11"/>
      <color rgb="FF000000"/>
      <name val="Calibri"/>
      <charset val="1"/>
    </font>
    <font>
      <sz val="9"/>
      <color rgb="FF000000"/>
      <name val="Tahoma"/>
      <charset val="1"/>
    </font>
    <font>
      <sz val="8"/>
      <color rgb="FF000000"/>
      <name val="Tahoma"/>
      <charset val="1"/>
    </font>
  </fonts>
  <fills count="44">
    <fill>
      <patternFill patternType="none"/>
    </fill>
    <fill>
      <patternFill patternType="gray125"/>
    </fill>
    <fill>
      <patternFill patternType="solid">
        <fgColor rgb="FFD9D9D9"/>
        <bgColor rgb="FFFCD5B5"/>
      </patternFill>
    </fill>
    <fill>
      <patternFill patternType="solid">
        <fgColor rgb="FFCCFFCC"/>
        <bgColor rgb="FFCCFFFF"/>
      </patternFill>
    </fill>
    <fill>
      <patternFill patternType="solid">
        <fgColor rgb="FFFCD5B5"/>
        <bgColor rgb="FFFFCC99"/>
      </patternFill>
    </fill>
    <fill>
      <patternFill patternType="solid">
        <fgColor rgb="FFCCFFFF"/>
        <bgColor rgb="FFCCFFCC"/>
      </patternFill>
    </fill>
    <fill>
      <patternFill patternType="solid">
        <fgColor rgb="FFFFFF00"/>
        <bgColor rgb="FFFFFF00"/>
      </patternFill>
    </fill>
    <fill>
      <patternFill patternType="solid">
        <fgColor rgb="FFC0C0C0"/>
        <bgColor rgb="FFBFBFBF"/>
      </patternFill>
    </fill>
    <fill>
      <patternFill patternType="solid">
        <fgColor rgb="FFFFFFFF"/>
        <bgColor rgb="FFCCFFFF"/>
      </patternFill>
    </fill>
    <fill>
      <patternFill patternType="solid">
        <fgColor rgb="FFBFBFBF"/>
        <bgColor rgb="FFC0C0C0"/>
      </patternFill>
    </fill>
    <fill>
      <patternFill patternType="solid">
        <fgColor rgb="FFFFCC99"/>
        <bgColor rgb="FFFCD5B5"/>
      </patternFill>
    </fill>
    <fill>
      <patternFill patternType="solid">
        <fgColor rgb="FFFF8080"/>
        <bgColor rgb="FFDB8238"/>
      </patternFill>
    </fill>
    <fill>
      <patternFill patternType="solid">
        <fgColor rgb="FF969696"/>
        <bgColor rgb="FFA596B9"/>
      </patternFill>
    </fill>
    <fill>
      <patternFill patternType="solid">
        <fgColor theme="6" tint="0.399975585192419"/>
        <bgColor indexed="64"/>
      </patternFill>
    </fill>
    <fill>
      <patternFill patternType="solid">
        <fgColor theme="9"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4"/>
        <bgColor indexed="64"/>
      </patternFill>
    </fill>
    <fill>
      <patternFill patternType="solid">
        <fgColor theme="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7"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bgColor indexed="64"/>
      </patternFill>
    </fill>
    <fill>
      <patternFill patternType="solid">
        <fgColor theme="8" tint="0.399975585192419"/>
        <bgColor indexed="64"/>
      </patternFill>
    </fill>
  </fills>
  <borders count="30">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style="thin">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diagonal/>
    </border>
    <border>
      <left/>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1" fillId="34" borderId="0" applyNumberFormat="0" applyBorder="0" applyAlignment="0" applyProtection="0">
      <alignment vertical="center"/>
    </xf>
    <xf numFmtId="0" fontId="14" fillId="39" borderId="0" applyNumberFormat="0" applyBorder="0" applyAlignment="0" applyProtection="0">
      <alignment vertical="center"/>
    </xf>
    <xf numFmtId="0" fontId="11" fillId="43" borderId="0" applyNumberFormat="0" applyBorder="0" applyAlignment="0" applyProtection="0">
      <alignment vertical="center"/>
    </xf>
    <xf numFmtId="0" fontId="11" fillId="32" borderId="0" applyNumberFormat="0" applyBorder="0" applyAlignment="0" applyProtection="0">
      <alignment vertical="center"/>
    </xf>
    <xf numFmtId="0" fontId="14" fillId="40" borderId="0" applyNumberFormat="0" applyBorder="0" applyAlignment="0" applyProtection="0">
      <alignment vertical="center"/>
    </xf>
    <xf numFmtId="0" fontId="14" fillId="41" borderId="0" applyNumberFormat="0" applyBorder="0" applyAlignment="0" applyProtection="0">
      <alignment vertical="center"/>
    </xf>
    <xf numFmtId="0" fontId="11" fillId="38" borderId="0" applyNumberFormat="0" applyBorder="0" applyAlignment="0" applyProtection="0">
      <alignment vertical="center"/>
    </xf>
    <xf numFmtId="0" fontId="11" fillId="37" borderId="0" applyNumberFormat="0" applyBorder="0" applyAlignment="0" applyProtection="0">
      <alignment vertical="center"/>
    </xf>
    <xf numFmtId="0" fontId="14" fillId="36" borderId="0" applyNumberFormat="0" applyBorder="0" applyAlignment="0" applyProtection="0">
      <alignment vertical="center"/>
    </xf>
    <xf numFmtId="0" fontId="11" fillId="30" borderId="0" applyNumberFormat="0" applyBorder="0" applyAlignment="0" applyProtection="0">
      <alignment vertical="center"/>
    </xf>
    <xf numFmtId="0" fontId="25" fillId="0" borderId="28" applyNumberFormat="0" applyFill="0" applyAlignment="0" applyProtection="0">
      <alignment vertical="center"/>
    </xf>
    <xf numFmtId="0" fontId="14" fillId="29" borderId="0" applyNumberFormat="0" applyBorder="0" applyAlignment="0" applyProtection="0">
      <alignment vertical="center"/>
    </xf>
    <xf numFmtId="0" fontId="11" fillId="21" borderId="0" applyNumberFormat="0" applyBorder="0" applyAlignment="0" applyProtection="0">
      <alignment vertical="center"/>
    </xf>
    <xf numFmtId="0" fontId="11" fillId="42" borderId="0" applyNumberFormat="0" applyBorder="0" applyAlignment="0" applyProtection="0">
      <alignment vertical="center"/>
    </xf>
    <xf numFmtId="0" fontId="14" fillId="33" borderId="0" applyNumberFormat="0" applyBorder="0" applyAlignment="0" applyProtection="0">
      <alignment vertical="center"/>
    </xf>
    <xf numFmtId="0" fontId="14" fillId="28" borderId="0" applyNumberFormat="0" applyBorder="0" applyAlignment="0" applyProtection="0">
      <alignment vertical="center"/>
    </xf>
    <xf numFmtId="0" fontId="11" fillId="27" borderId="0" applyNumberFormat="0" applyBorder="0" applyAlignment="0" applyProtection="0">
      <alignment vertical="center"/>
    </xf>
    <xf numFmtId="0" fontId="14" fillId="16" borderId="0" applyNumberFormat="0" applyBorder="0" applyAlignment="0" applyProtection="0">
      <alignment vertical="center"/>
    </xf>
    <xf numFmtId="0" fontId="14" fillId="23" borderId="0" applyNumberFormat="0" applyBorder="0" applyAlignment="0" applyProtection="0">
      <alignment vertical="center"/>
    </xf>
    <xf numFmtId="0" fontId="11" fillId="31" borderId="0" applyNumberFormat="0" applyBorder="0" applyAlignment="0" applyProtection="0">
      <alignment vertical="center"/>
    </xf>
    <xf numFmtId="0" fontId="24" fillId="25" borderId="0" applyNumberFormat="0" applyBorder="0" applyAlignment="0" applyProtection="0">
      <alignment vertical="center"/>
    </xf>
    <xf numFmtId="0" fontId="11" fillId="17" borderId="0" applyNumberFormat="0" applyBorder="0" applyAlignment="0" applyProtection="0">
      <alignment vertical="center"/>
    </xf>
    <xf numFmtId="0" fontId="22" fillId="24" borderId="0" applyNumberFormat="0" applyBorder="0" applyAlignment="0" applyProtection="0">
      <alignment vertical="center"/>
    </xf>
    <xf numFmtId="0" fontId="14" fillId="22" borderId="0" applyNumberFormat="0" applyBorder="0" applyAlignment="0" applyProtection="0">
      <alignment vertical="center"/>
    </xf>
    <xf numFmtId="0" fontId="21" fillId="0" borderId="27" applyNumberFormat="0" applyFill="0" applyAlignment="0" applyProtection="0">
      <alignment vertical="center"/>
    </xf>
    <xf numFmtId="0" fontId="19" fillId="19" borderId="25" applyNumberFormat="0" applyAlignment="0" applyProtection="0">
      <alignment vertical="center"/>
    </xf>
    <xf numFmtId="44" fontId="12" fillId="0" borderId="0" applyBorder="0" applyAlignment="0" applyProtection="0"/>
    <xf numFmtId="0" fontId="14" fillId="18" borderId="0" applyNumberFormat="0" applyBorder="0" applyAlignment="0" applyProtection="0">
      <alignment vertical="center"/>
    </xf>
    <xf numFmtId="0" fontId="18" fillId="20" borderId="24" applyNumberFormat="0" applyFont="0" applyAlignment="0" applyProtection="0">
      <alignment vertical="center"/>
    </xf>
    <xf numFmtId="0" fontId="26" fillId="26" borderId="23" applyNumberFormat="0" applyAlignment="0" applyProtection="0">
      <alignment vertical="center"/>
    </xf>
    <xf numFmtId="0" fontId="15" fillId="0" borderId="0" applyNumberFormat="0" applyFill="0" applyBorder="0" applyAlignment="0" applyProtection="0">
      <alignment vertical="center"/>
    </xf>
    <xf numFmtId="0" fontId="17" fillId="19" borderId="23" applyNumberFormat="0" applyAlignment="0" applyProtection="0">
      <alignment vertical="center"/>
    </xf>
    <xf numFmtId="0" fontId="16" fillId="15" borderId="0" applyNumberFormat="0" applyBorder="0" applyAlignment="0" applyProtection="0">
      <alignment vertical="center"/>
    </xf>
    <xf numFmtId="0" fontId="15" fillId="0" borderId="22" applyNumberFormat="0" applyFill="0" applyAlignment="0" applyProtection="0">
      <alignment vertical="center"/>
    </xf>
    <xf numFmtId="0" fontId="23" fillId="0" borderId="0" applyNumberFormat="0" applyFill="0" applyBorder="0" applyAlignment="0" applyProtection="0">
      <alignment vertical="center"/>
    </xf>
    <xf numFmtId="0" fontId="28" fillId="0" borderId="26" applyNumberFormat="0" applyFill="0" applyAlignment="0" applyProtection="0">
      <alignment vertical="center"/>
    </xf>
    <xf numFmtId="41" fontId="12" fillId="0" borderId="0" applyBorder="0" applyAlignment="0" applyProtection="0"/>
    <xf numFmtId="0" fontId="14" fillId="14" borderId="0" applyNumberFormat="0" applyBorder="0" applyAlignment="0" applyProtection="0">
      <alignment vertical="center"/>
    </xf>
    <xf numFmtId="0" fontId="30" fillId="0" borderId="0" applyNumberFormat="0" applyFill="0" applyBorder="0" applyAlignment="0" applyProtection="0">
      <alignment vertical="center"/>
    </xf>
    <xf numFmtId="42" fontId="12" fillId="0" borderId="0" applyBorder="0" applyAlignment="0" applyProtection="0"/>
    <xf numFmtId="0" fontId="2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26" applyNumberFormat="0" applyFill="0" applyAlignment="0" applyProtection="0">
      <alignment vertical="center"/>
    </xf>
    <xf numFmtId="43" fontId="12" fillId="0" borderId="0" applyBorder="0" applyAlignment="0" applyProtection="0"/>
    <xf numFmtId="0" fontId="29" fillId="35" borderId="29" applyNumberFormat="0" applyAlignment="0" applyProtection="0">
      <alignment vertical="center"/>
    </xf>
    <xf numFmtId="0" fontId="11" fillId="13" borderId="0" applyNumberFormat="0" applyBorder="0" applyAlignment="0" applyProtection="0">
      <alignment vertical="center"/>
    </xf>
    <xf numFmtId="9" fontId="12" fillId="0" borderId="0" applyBorder="0" applyAlignment="0" applyProtection="0"/>
    <xf numFmtId="0" fontId="10" fillId="0" borderId="0" applyNumberFormat="0" applyFill="0" applyBorder="0" applyAlignment="0" applyProtection="0">
      <alignment vertical="center"/>
    </xf>
  </cellStyleXfs>
  <cellXfs count="127">
    <xf numFmtId="0" fontId="0" fillId="0" borderId="0" xfId="0"/>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0" fontId="0" fillId="2" borderId="0" xfId="0" applyFont="1" applyFill="1" applyAlignment="1">
      <alignment horizontal="left" wrapText="1"/>
    </xf>
    <xf numFmtId="0" fontId="0" fillId="3" borderId="0" xfId="0" applyFont="1" applyFill="1" applyAlignment="1">
      <alignment horizontal="left" wrapText="1"/>
    </xf>
    <xf numFmtId="0" fontId="0" fillId="4" borderId="0" xfId="0" applyFont="1" applyFill="1" applyAlignment="1">
      <alignment horizontal="left" wrapText="1"/>
    </xf>
    <xf numFmtId="0" fontId="0" fillId="5" borderId="0" xfId="0" applyFont="1" applyFill="1" applyAlignment="1">
      <alignment horizontal="left" wrapText="1"/>
    </xf>
    <xf numFmtId="0" fontId="0" fillId="6" borderId="0" xfId="0" applyFont="1" applyFill="1" applyAlignment="1">
      <alignment horizontal="left" wrapText="1"/>
    </xf>
    <xf numFmtId="0" fontId="3" fillId="0" borderId="0" xfId="0" applyFont="1" applyAlignment="1">
      <alignment horizontal="left" wrapText="1"/>
    </xf>
    <xf numFmtId="0" fontId="0" fillId="0" borderId="0" xfId="0" applyAlignment="1">
      <alignment horizontal="center"/>
    </xf>
    <xf numFmtId="0" fontId="4" fillId="0" borderId="0" xfId="0" applyFont="1" applyAlignment="1">
      <alignment horizontal="left"/>
    </xf>
    <xf numFmtId="0" fontId="2" fillId="0" borderId="0" xfId="0" applyFont="1" applyAlignment="1">
      <alignment horizontal="center"/>
    </xf>
    <xf numFmtId="0" fontId="0" fillId="7" borderId="0" xfId="0" applyFont="1" applyFill="1" applyAlignment="1">
      <alignment horizontal="left"/>
    </xf>
    <xf numFmtId="0" fontId="2" fillId="3" borderId="1" xfId="0" applyFont="1" applyFill="1" applyBorder="1" applyAlignment="1">
      <alignment horizontal="left"/>
    </xf>
    <xf numFmtId="0" fontId="0" fillId="3" borderId="2" xfId="0" applyFont="1" applyFill="1" applyBorder="1" applyAlignment="1">
      <alignment horizontal="left"/>
    </xf>
    <xf numFmtId="0" fontId="2" fillId="3" borderId="0" xfId="0" applyFont="1" applyFill="1" applyAlignment="1">
      <alignment horizontal="left"/>
    </xf>
    <xf numFmtId="0" fontId="0" fillId="7" borderId="0" xfId="0" applyFill="1" applyBorder="1" applyAlignment="1">
      <alignment horizontal="center"/>
    </xf>
    <xf numFmtId="0" fontId="0" fillId="3" borderId="3" xfId="0" applyFont="1" applyFill="1" applyBorder="1" applyAlignment="1">
      <alignment horizontal="center"/>
    </xf>
    <xf numFmtId="0" fontId="0" fillId="3" borderId="2" xfId="0" applyFont="1" applyFill="1" applyBorder="1" applyAlignment="1">
      <alignment horizontal="center"/>
    </xf>
    <xf numFmtId="0" fontId="0" fillId="3" borderId="4" xfId="0" applyFill="1" applyBorder="1" applyAlignment="1">
      <alignment horizontal="center"/>
    </xf>
    <xf numFmtId="2" fontId="0" fillId="0" borderId="5" xfId="0" applyNumberFormat="1" applyFont="1" applyBorder="1" applyAlignment="1">
      <alignment horizontal="center"/>
    </xf>
    <xf numFmtId="2" fontId="0" fillId="8" borderId="5" xfId="0" applyNumberFormat="1" applyFont="1" applyFill="1" applyBorder="1" applyAlignment="1">
      <alignment horizontal="center"/>
    </xf>
    <xf numFmtId="0" fontId="0" fillId="9" borderId="0" xfId="0" applyFill="1" applyAlignment="1">
      <alignment horizontal="center"/>
    </xf>
    <xf numFmtId="0" fontId="0" fillId="3" borderId="6" xfId="0" applyFill="1" applyBorder="1" applyAlignment="1">
      <alignment horizontal="center"/>
    </xf>
    <xf numFmtId="2" fontId="0" fillId="0" borderId="0" xfId="0" applyNumberFormat="1" applyFont="1" applyBorder="1" applyAlignment="1">
      <alignment horizontal="center"/>
    </xf>
    <xf numFmtId="2" fontId="0" fillId="8" borderId="0" xfId="0" applyNumberFormat="1" applyFont="1" applyFill="1" applyBorder="1" applyAlignment="1">
      <alignment horizontal="center"/>
    </xf>
    <xf numFmtId="0" fontId="5" fillId="10" borderId="6" xfId="0" applyFont="1" applyFill="1" applyBorder="1" applyAlignment="1">
      <alignment horizontal="left"/>
    </xf>
    <xf numFmtId="0" fontId="6" fillId="9" borderId="2" xfId="0" applyFont="1" applyFill="1" applyBorder="1" applyAlignment="1">
      <alignment horizontal="center"/>
    </xf>
    <xf numFmtId="178" fontId="0" fillId="9" borderId="2" xfId="0" applyNumberFormat="1" applyFill="1" applyBorder="1" applyAlignment="1">
      <alignment horizontal="center"/>
    </xf>
    <xf numFmtId="0" fontId="0" fillId="0" borderId="2" xfId="0" applyBorder="1" applyAlignment="1">
      <alignment horizontal="center"/>
    </xf>
    <xf numFmtId="0" fontId="0" fillId="10" borderId="0" xfId="0" applyFont="1" applyFill="1" applyBorder="1" applyAlignment="1">
      <alignment horizontal="center"/>
    </xf>
    <xf numFmtId="0" fontId="0" fillId="0" borderId="5" xfId="0" applyBorder="1" applyAlignment="1">
      <alignment horizontal="center"/>
    </xf>
    <xf numFmtId="1" fontId="0" fillId="0" borderId="5" xfId="0" applyNumberFormat="1" applyBorder="1" applyAlignment="1">
      <alignment horizontal="center"/>
    </xf>
    <xf numFmtId="0" fontId="0" fillId="7" borderId="5" xfId="0" applyFill="1" applyBorder="1" applyAlignment="1">
      <alignment horizontal="center"/>
    </xf>
    <xf numFmtId="1" fontId="0" fillId="0" borderId="0" xfId="0" applyNumberFormat="1" applyAlignment="1">
      <alignment horizontal="center"/>
    </xf>
    <xf numFmtId="1" fontId="0" fillId="6" borderId="0" xfId="0" applyNumberFormat="1" applyFill="1" applyAlignment="1">
      <alignment horizontal="center"/>
    </xf>
    <xf numFmtId="0" fontId="0" fillId="7" borderId="0" xfId="0" applyFill="1" applyAlignment="1">
      <alignment horizontal="center"/>
    </xf>
    <xf numFmtId="58" fontId="0" fillId="0" borderId="0" xfId="0" applyNumberFormat="1" applyAlignment="1">
      <alignment horizontal="center"/>
    </xf>
    <xf numFmtId="178" fontId="0" fillId="0" borderId="0" xfId="0" applyNumberFormat="1" applyAlignment="1">
      <alignment horizontal="center"/>
    </xf>
    <xf numFmtId="0" fontId="0" fillId="11" borderId="0" xfId="0" applyFont="1" applyFill="1" applyAlignment="1">
      <alignment horizontal="left"/>
    </xf>
    <xf numFmtId="0" fontId="0" fillId="3" borderId="0" xfId="0" applyFont="1" applyFill="1" applyAlignment="1">
      <alignment horizontal="left"/>
    </xf>
    <xf numFmtId="0" fontId="7" fillId="3" borderId="0" xfId="0" applyFont="1" applyFill="1" applyAlignment="1">
      <alignment horizontal="left"/>
    </xf>
    <xf numFmtId="0" fontId="0" fillId="0" borderId="0" xfId="0" applyAlignment="1">
      <alignment horizontal="left"/>
    </xf>
    <xf numFmtId="2" fontId="7" fillId="0" borderId="0" xfId="0" applyNumberFormat="1" applyFont="1" applyAlignment="1">
      <alignment horizontal="center"/>
    </xf>
    <xf numFmtId="0" fontId="6" fillId="3" borderId="2" xfId="0" applyFont="1" applyFill="1" applyBorder="1" applyAlignment="1">
      <alignment horizontal="left"/>
    </xf>
    <xf numFmtId="0" fontId="7" fillId="3" borderId="7" xfId="0" applyFont="1" applyFill="1" applyBorder="1" applyAlignment="1">
      <alignment horizontal="left"/>
    </xf>
    <xf numFmtId="0" fontId="7" fillId="0" borderId="8" xfId="0" applyFont="1" applyBorder="1" applyAlignment="1">
      <alignment horizontal="center"/>
    </xf>
    <xf numFmtId="0" fontId="0" fillId="0" borderId="0" xfId="0" applyFont="1" applyBorder="1" applyAlignment="1">
      <alignment horizontal="center"/>
    </xf>
    <xf numFmtId="0" fontId="7" fillId="0" borderId="9" xfId="0" applyFont="1" applyBorder="1" applyAlignment="1">
      <alignment horizontal="center"/>
    </xf>
    <xf numFmtId="0" fontId="0" fillId="10" borderId="10" xfId="0" applyFont="1" applyFill="1" applyBorder="1" applyAlignment="1">
      <alignment horizontal="left"/>
    </xf>
    <xf numFmtId="178" fontId="0" fillId="9" borderId="0" xfId="0" applyNumberFormat="1" applyFill="1" applyBorder="1" applyAlignment="1">
      <alignment horizontal="center"/>
    </xf>
    <xf numFmtId="0" fontId="0" fillId="7" borderId="5" xfId="0" applyFill="1" applyBorder="1" applyAlignment="1" applyProtection="1">
      <alignment horizontal="center"/>
    </xf>
    <xf numFmtId="0" fontId="0" fillId="12" borderId="0" xfId="0" applyFill="1" applyAlignment="1">
      <alignment horizontal="center"/>
    </xf>
    <xf numFmtId="0" fontId="0" fillId="3" borderId="0" xfId="0" applyFont="1" applyFill="1" applyAlignment="1">
      <alignment horizontal="center"/>
    </xf>
    <xf numFmtId="177" fontId="0" fillId="0" borderId="0" xfId="0" applyNumberFormat="1" applyAlignment="1">
      <alignment horizontal="center"/>
    </xf>
    <xf numFmtId="0" fontId="0" fillId="11" borderId="0" xfId="0" applyFill="1" applyAlignment="1">
      <alignment horizontal="center"/>
    </xf>
    <xf numFmtId="0" fontId="2" fillId="5" borderId="0" xfId="0" applyFont="1" applyFill="1" applyAlignment="1">
      <alignment horizontal="left"/>
    </xf>
    <xf numFmtId="0" fontId="0" fillId="0" borderId="11" xfId="0" applyFont="1" applyBorder="1" applyAlignment="1">
      <alignment horizontal="left"/>
    </xf>
    <xf numFmtId="0" fontId="0" fillId="7" borderId="12" xfId="0" applyFill="1" applyBorder="1" applyAlignment="1">
      <alignment horizontal="center"/>
    </xf>
    <xf numFmtId="0" fontId="0" fillId="5" borderId="0" xfId="0" applyFont="1" applyFill="1" applyAlignment="1">
      <alignment horizontal="left"/>
    </xf>
    <xf numFmtId="0" fontId="0" fillId="0" borderId="13" xfId="0" applyFont="1" applyBorder="1" applyAlignment="1">
      <alignment horizontal="left"/>
    </xf>
    <xf numFmtId="0" fontId="0" fillId="7" borderId="14" xfId="0" applyFill="1" applyBorder="1" applyAlignment="1">
      <alignment horizontal="center"/>
    </xf>
    <xf numFmtId="2" fontId="0" fillId="6" borderId="14" xfId="0" applyNumberFormat="1" applyFill="1" applyBorder="1" applyAlignment="1">
      <alignment horizontal="center"/>
    </xf>
    <xf numFmtId="0" fontId="0" fillId="5" borderId="0" xfId="0" applyFill="1" applyAlignment="1">
      <alignment horizontal="center"/>
    </xf>
    <xf numFmtId="0" fontId="2" fillId="11" borderId="15" xfId="0" applyFont="1" applyFill="1" applyBorder="1" applyAlignment="1">
      <alignment horizontal="left"/>
    </xf>
    <xf numFmtId="176" fontId="0" fillId="0" borderId="16" xfId="0" applyNumberFormat="1" applyFont="1" applyBorder="1" applyAlignment="1">
      <alignment horizontal="center"/>
    </xf>
    <xf numFmtId="0" fontId="0" fillId="0" borderId="0" xfId="0" applyBorder="1" applyAlignment="1">
      <alignment horizontal="center"/>
    </xf>
    <xf numFmtId="0" fontId="0" fillId="9" borderId="0" xfId="0" applyFill="1" applyBorder="1" applyAlignment="1">
      <alignment horizontal="center"/>
    </xf>
    <xf numFmtId="0" fontId="0" fillId="12" borderId="0" xfId="0" applyFont="1" applyFill="1" applyAlignment="1">
      <alignment horizontal="left"/>
    </xf>
    <xf numFmtId="2" fontId="0" fillId="0" borderId="0" xfId="0" applyNumberFormat="1" applyAlignment="1">
      <alignment horizontal="center"/>
    </xf>
    <xf numFmtId="0" fontId="8" fillId="0" borderId="0" xfId="0" applyFont="1" applyAlignment="1">
      <alignment horizontal="left"/>
    </xf>
    <xf numFmtId="0" fontId="8" fillId="0" borderId="0" xfId="0" applyFont="1" applyAlignment="1">
      <alignment horizontal="center"/>
    </xf>
    <xf numFmtId="0" fontId="0" fillId="5" borderId="0" xfId="0" applyFont="1" applyFill="1" applyBorder="1" applyAlignment="1">
      <alignment horizontal="left"/>
    </xf>
    <xf numFmtId="0" fontId="9" fillId="5" borderId="0" xfId="0" applyFont="1" applyFill="1" applyBorder="1" applyAlignment="1">
      <alignment horizontal="left" wrapText="1"/>
    </xf>
    <xf numFmtId="0" fontId="0" fillId="5" borderId="11" xfId="0" applyFont="1" applyFill="1" applyBorder="1" applyAlignment="1">
      <alignment horizontal="left"/>
    </xf>
    <xf numFmtId="0" fontId="9" fillId="0" borderId="0" xfId="0" applyFont="1" applyAlignment="1">
      <alignment horizontal="center"/>
    </xf>
    <xf numFmtId="0" fontId="0" fillId="6" borderId="13" xfId="0" applyFont="1" applyFill="1" applyBorder="1" applyAlignment="1">
      <alignment horizontal="center"/>
    </xf>
    <xf numFmtId="0" fontId="0" fillId="5" borderId="0" xfId="0" applyFont="1" applyFill="1" applyBorder="1" applyAlignment="1">
      <alignment horizontal="center"/>
    </xf>
    <xf numFmtId="0" fontId="0" fillId="0" borderId="15" xfId="0" applyFont="1" applyBorder="1" applyAlignment="1">
      <alignment horizontal="center"/>
    </xf>
    <xf numFmtId="0" fontId="2" fillId="0" borderId="11" xfId="0" applyFont="1" applyBorder="1" applyAlignment="1">
      <alignment horizontal="left"/>
    </xf>
    <xf numFmtId="0" fontId="0" fillId="0" borderId="7" xfId="0" applyBorder="1" applyAlignment="1">
      <alignment horizontal="center"/>
    </xf>
    <xf numFmtId="0" fontId="2" fillId="0" borderId="15" xfId="0" applyFont="1" applyBorder="1" applyAlignment="1">
      <alignment horizontal="left"/>
    </xf>
    <xf numFmtId="0" fontId="0" fillId="10" borderId="9" xfId="0" applyFont="1" applyFill="1" applyBorder="1" applyAlignment="1">
      <alignment horizontal="left"/>
    </xf>
    <xf numFmtId="0" fontId="0" fillId="7" borderId="8" xfId="0" applyFill="1" applyBorder="1" applyAlignment="1">
      <alignment horizontal="center"/>
    </xf>
    <xf numFmtId="0" fontId="0" fillId="10" borderId="0" xfId="0" applyFont="1" applyFill="1" applyAlignment="1">
      <alignment horizontal="center"/>
    </xf>
    <xf numFmtId="0" fontId="0" fillId="5" borderId="17" xfId="0" applyFont="1" applyFill="1" applyBorder="1" applyAlignment="1">
      <alignment horizontal="left"/>
    </xf>
    <xf numFmtId="0" fontId="0" fillId="5" borderId="12" xfId="0" applyFont="1" applyFill="1" applyBorder="1" applyAlignment="1">
      <alignment horizontal="left"/>
    </xf>
    <xf numFmtId="1" fontId="0" fillId="0" borderId="0" xfId="0" applyNumberFormat="1" applyBorder="1" applyAlignment="1">
      <alignment horizontal="center"/>
    </xf>
    <xf numFmtId="0" fontId="0" fillId="6" borderId="0" xfId="0" applyFill="1" applyBorder="1" applyAlignment="1">
      <alignment horizontal="center"/>
    </xf>
    <xf numFmtId="0" fontId="0" fillId="0" borderId="14" xfId="0" applyBorder="1" applyAlignment="1">
      <alignment horizontal="center"/>
    </xf>
    <xf numFmtId="1" fontId="0" fillId="0" borderId="18" xfId="0" applyNumberFormat="1" applyBorder="1" applyAlignment="1">
      <alignment horizontal="center"/>
    </xf>
    <xf numFmtId="0" fontId="0" fillId="0" borderId="18" xfId="0" applyBorder="1" applyAlignment="1">
      <alignment horizontal="center"/>
    </xf>
    <xf numFmtId="0" fontId="0" fillId="0" borderId="16" xfId="0" applyBorder="1" applyAlignment="1">
      <alignment horizontal="center"/>
    </xf>
    <xf numFmtId="176" fontId="0" fillId="0" borderId="17" xfId="0" applyNumberFormat="1" applyBorder="1" applyAlignment="1">
      <alignment horizontal="center"/>
    </xf>
    <xf numFmtId="0" fontId="2" fillId="0" borderId="17" xfId="0" applyFont="1" applyBorder="1" applyAlignment="1">
      <alignment horizontal="left"/>
    </xf>
    <xf numFmtId="0" fontId="0" fillId="0" borderId="12" xfId="0" applyBorder="1" applyAlignment="1">
      <alignment horizontal="center"/>
    </xf>
    <xf numFmtId="176" fontId="0" fillId="0" borderId="18" xfId="0" applyNumberFormat="1" applyBorder="1" applyAlignment="1">
      <alignment horizontal="center"/>
    </xf>
    <xf numFmtId="0" fontId="0" fillId="0" borderId="3" xfId="0" applyBorder="1" applyAlignment="1">
      <alignment horizontal="left"/>
    </xf>
    <xf numFmtId="176" fontId="0" fillId="0" borderId="0" xfId="0" applyNumberFormat="1" applyAlignment="1">
      <alignment horizontal="center"/>
    </xf>
    <xf numFmtId="0" fontId="0" fillId="0" borderId="19" xfId="0" applyFont="1" applyBorder="1" applyAlignment="1">
      <alignment horizontal="left"/>
    </xf>
    <xf numFmtId="0" fontId="0" fillId="10" borderId="19" xfId="0" applyFont="1" applyFill="1" applyBorder="1" applyAlignment="1">
      <alignment horizontal="center"/>
    </xf>
    <xf numFmtId="176" fontId="0" fillId="11" borderId="0" xfId="0" applyNumberFormat="1" applyFill="1" applyAlignment="1">
      <alignment horizontal="center"/>
    </xf>
    <xf numFmtId="0" fontId="0" fillId="0" borderId="2" xfId="0" applyBorder="1" applyAlignment="1">
      <alignment horizontal="left"/>
    </xf>
    <xf numFmtId="0" fontId="0" fillId="0" borderId="20" xfId="0" applyBorder="1" applyAlignment="1">
      <alignment horizontal="center"/>
    </xf>
    <xf numFmtId="0" fontId="0" fillId="0" borderId="21" xfId="0" applyBorder="1" applyAlignment="1">
      <alignment horizontal="center"/>
    </xf>
    <xf numFmtId="0" fontId="0" fillId="6" borderId="21" xfId="0" applyFill="1" applyBorder="1" applyAlignment="1">
      <alignment horizontal="center"/>
    </xf>
    <xf numFmtId="0" fontId="0" fillId="10" borderId="20" xfId="0" applyFont="1" applyFill="1" applyBorder="1" applyAlignment="1">
      <alignment horizontal="center"/>
    </xf>
    <xf numFmtId="0" fontId="0" fillId="10" borderId="21" xfId="0" applyFont="1" applyFill="1" applyBorder="1" applyAlignment="1">
      <alignment horizontal="center"/>
    </xf>
    <xf numFmtId="1" fontId="0" fillId="6" borderId="21" xfId="0" applyNumberFormat="1" applyFill="1" applyBorder="1" applyAlignment="1">
      <alignment horizontal="center"/>
    </xf>
    <xf numFmtId="178" fontId="0" fillId="0" borderId="2" xfId="0" applyNumberFormat="1" applyBorder="1" applyAlignment="1">
      <alignment horizontal="center"/>
    </xf>
    <xf numFmtId="176" fontId="0" fillId="0" borderId="6" xfId="0" applyNumberFormat="1" applyFont="1" applyBorder="1" applyAlignment="1">
      <alignment horizontal="left"/>
    </xf>
    <xf numFmtId="176" fontId="0" fillId="0" borderId="0" xfId="0" applyNumberFormat="1" applyBorder="1" applyAlignment="1">
      <alignment horizontal="center"/>
    </xf>
    <xf numFmtId="0" fontId="0" fillId="0" borderId="9" xfId="0" applyBorder="1" applyAlignment="1">
      <alignment horizontal="center"/>
    </xf>
    <xf numFmtId="0" fontId="0" fillId="5" borderId="3" xfId="0" applyFont="1" applyFill="1" applyBorder="1" applyAlignment="1">
      <alignment horizontal="left"/>
    </xf>
    <xf numFmtId="0" fontId="0" fillId="5" borderId="2" xfId="0" applyFill="1" applyBorder="1" applyAlignment="1">
      <alignment horizontal="center"/>
    </xf>
    <xf numFmtId="0" fontId="0" fillId="0" borderId="6" xfId="0" applyBorder="1" applyAlignment="1">
      <alignment horizontal="left"/>
    </xf>
    <xf numFmtId="0" fontId="0" fillId="5" borderId="4" xfId="0" applyFont="1" applyFill="1" applyBorder="1" applyAlignment="1">
      <alignment horizontal="center"/>
    </xf>
    <xf numFmtId="0" fontId="0" fillId="5" borderId="5" xfId="0" applyFont="1" applyFill="1" applyBorder="1" applyAlignment="1">
      <alignment horizontal="center"/>
    </xf>
    <xf numFmtId="0" fontId="0" fillId="3" borderId="3" xfId="0" applyFont="1" applyFill="1" applyBorder="1" applyAlignment="1">
      <alignment horizontal="left"/>
    </xf>
    <xf numFmtId="0" fontId="2" fillId="5" borderId="5" xfId="0" applyFont="1" applyFill="1" applyBorder="1" applyAlignment="1">
      <alignment horizontal="center"/>
    </xf>
    <xf numFmtId="0" fontId="2" fillId="3" borderId="5" xfId="0" applyFont="1" applyFill="1" applyBorder="1" applyAlignment="1">
      <alignment horizontal="center"/>
    </xf>
    <xf numFmtId="2" fontId="0" fillId="11" borderId="0" xfId="0" applyNumberFormat="1" applyFill="1" applyAlignment="1">
      <alignment horizontal="center"/>
    </xf>
    <xf numFmtId="0" fontId="0" fillId="3" borderId="7" xfId="0" applyFill="1" applyBorder="1" applyAlignment="1">
      <alignment horizontal="center"/>
    </xf>
    <xf numFmtId="0" fontId="0" fillId="0" borderId="0" xfId="0" applyBorder="1" applyAlignment="1">
      <alignment horizontal="left"/>
    </xf>
    <xf numFmtId="0" fontId="0" fillId="3" borderId="5" xfId="0" applyFont="1" applyFill="1" applyBorder="1" applyAlignment="1">
      <alignment horizontal="center"/>
    </xf>
    <xf numFmtId="0" fontId="0" fillId="3" borderId="8" xfId="0" applyFont="1" applyFill="1" applyBorder="1" applyAlignment="1">
      <alignment horizontal="center"/>
    </xf>
  </cellXfs>
  <cellStyles count="49">
    <cellStyle name="Normal" xfId="0" builtinId="0"/>
    <cellStyle name="60% - Accent6" xfId="1" builtinId="52"/>
    <cellStyle name="40% - Accent6" xfId="2" builtinId="51"/>
    <cellStyle name="60% - Accent5" xfId="3" builtinId="48"/>
    <cellStyle name="Accent6" xfId="4" builtinId="49"/>
    <cellStyle name="40% - Accent5" xfId="5" builtinId="47"/>
    <cellStyle name="20% - Accent5" xfId="6" builtinId="46"/>
    <cellStyle name="60% - Accent4" xfId="7" builtinId="44"/>
    <cellStyle name="Accent5" xfId="8" builtinId="45"/>
    <cellStyle name="40% - Accent4" xfId="9" builtinId="43"/>
    <cellStyle name="Accent4" xfId="10" builtinId="41"/>
    <cellStyle name="Linked Cell" xfId="11" builtinId="24"/>
    <cellStyle name="40% - Accent3" xfId="12" builtinId="39"/>
    <cellStyle name="60% - Accent2" xfId="13" builtinId="36"/>
    <cellStyle name="Accent3" xfId="14" builtinId="37"/>
    <cellStyle name="40% - Accent2" xfId="15" builtinId="35"/>
    <cellStyle name="20% - Accent2" xfId="16" builtinId="34"/>
    <cellStyle name="Accent2" xfId="17" builtinId="33"/>
    <cellStyle name="40% - Accent1" xfId="18" builtinId="31"/>
    <cellStyle name="20% - Accent1" xfId="19" builtinId="30"/>
    <cellStyle name="Accent1" xfId="20" builtinId="29"/>
    <cellStyle name="Neutral" xfId="21" builtinId="28"/>
    <cellStyle name="60% - Accent1" xfId="22" builtinId="32"/>
    <cellStyle name="Bad" xfId="23" builtinId="27"/>
    <cellStyle name="20% - Accent4" xfId="24" builtinId="42"/>
    <cellStyle name="Total" xfId="25" builtinId="25"/>
    <cellStyle name="Output" xfId="26" builtinId="21"/>
    <cellStyle name="Currency" xfId="27" builtinId="4"/>
    <cellStyle name="20% - Accent3" xfId="28" builtinId="38"/>
    <cellStyle name="Note" xfId="29" builtinId="10"/>
    <cellStyle name="Input" xfId="30" builtinId="20"/>
    <cellStyle name="Heading 4" xfId="31" builtinId="19"/>
    <cellStyle name="Calculation" xfId="32" builtinId="22"/>
    <cellStyle name="Good" xfId="33" builtinId="26"/>
    <cellStyle name="Heading 3" xfId="34" builtinId="18"/>
    <cellStyle name="CExplanatory Text" xfId="35" builtinId="53"/>
    <cellStyle name="Heading 1" xfId="36" builtinId="16"/>
    <cellStyle name="Comma [0]" xfId="37" builtinId="6"/>
    <cellStyle name="20% - Accent6" xfId="38" builtinId="50"/>
    <cellStyle name="Title" xfId="39" builtinId="15"/>
    <cellStyle name="Currency [0]" xfId="40" builtinId="7"/>
    <cellStyle name="Warning Text" xfId="41" builtinId="11"/>
    <cellStyle name="Followed Hyperlink" xfId="42" builtinId="9"/>
    <cellStyle name="Heading 2" xfId="43" builtinId="17"/>
    <cellStyle name="Comma" xfId="44" builtinId="3"/>
    <cellStyle name="Check Cell" xfId="45" builtinId="23"/>
    <cellStyle name="60% - Accent3" xfId="46" builtinId="40"/>
    <cellStyle name="Percent" xfId="47" builtinId="5"/>
    <cellStyle name="Hyperlink" xfId="48" builtinId="8"/>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558ED5"/>
      <rgbColor rgb="00000080"/>
      <rgbColor rgb="0087A44B"/>
      <rgbColor rgb="00800080"/>
      <rgbColor rgb="0000A1DA"/>
      <rgbColor rgb="00C0C0C0"/>
      <rgbColor rgb="00878787"/>
      <rgbColor rgb="008EA5CA"/>
      <rgbColor rgb="00AA433F"/>
      <rgbColor rgb="00FCD5B5"/>
      <rgbColor rgb="00CCFFFF"/>
      <rgbColor rgb="00660066"/>
      <rgbColor rgb="00FF8080"/>
      <rgbColor rgb="000070C0"/>
      <rgbColor rgb="00D9D9D9"/>
      <rgbColor rgb="00000080"/>
      <rgbColor rgb="00FF00FF"/>
      <rgbColor rgb="00FFFF00"/>
      <rgbColor rgb="0000FFFF"/>
      <rgbColor rgb="00800080"/>
      <rgbColor rgb="00800000"/>
      <rgbColor rgb="004A7EBB"/>
      <rgbColor rgb="000000FF"/>
      <rgbColor rgb="0000B0F0"/>
      <rgbColor rgb="00B3C992"/>
      <rgbColor rgb="00CCFFCC"/>
      <rgbColor rgb="00FFFF99"/>
      <rgbColor rgb="00BFBFBF"/>
      <rgbColor rgb="00A6A6A6"/>
      <rgbColor rgb="00A596B9"/>
      <rgbColor rgb="00FFCC99"/>
      <rgbColor rgb="00426FA6"/>
      <rgbColor rgb="0033CC33"/>
      <rgbColor rgb="0092D050"/>
      <rgbColor rgb="00FFCC00"/>
      <rgbColor rgb="00FF9933"/>
      <rgbColor rgb="00DB8238"/>
      <rgbColor rgb="00725990"/>
      <rgbColor rgb="00969696"/>
      <rgbColor rgb="00003366"/>
      <rgbColor rgb="003D97AF"/>
      <rgbColor rgb="00003300"/>
      <rgbColor rgb="00333300"/>
      <rgbColor rgb="00BE4B48"/>
      <rgbColor rgb="00AB4744"/>
      <rgbColor rgb="00376092"/>
      <rgbColor rgb="006F568D"/>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0316042394492843"/>
          <c:y val="0.0421916541440296"/>
          <c:w val="0.866197909756924"/>
          <c:h val="0.775054906947174"/>
        </c:manualLayout>
      </c:layout>
      <c:barChart>
        <c:barDir val="col"/>
        <c:grouping val="clustered"/>
        <c:varyColors val="0"/>
        <c:ser>
          <c:idx val="0"/>
          <c:order val="0"/>
          <c:tx>
            <c:strRef>
              <c:f>'SAMIR_ex_blé TLS'!$C$14</c:f>
              <c:strCache>
                <c:ptCount val="1"/>
                <c:pt idx="0">
                  <c:v>Pluie</c:v>
                </c:pt>
              </c:strCache>
            </c:strRef>
          </c:tx>
          <c:spPr>
            <a:solidFill>
              <a:srgbClr val="AB4744"/>
            </a:solidFill>
            <a:ln>
              <a:noFill/>
            </a:ln>
          </c:spPr>
          <c:invertIfNegative val="0"/>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outEnd"/>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TLS'!$C$15:$C$502</c:f>
              <c:numCache>
                <c:formatCode>0.000</c:formatCode>
                <c:ptCount val="488"/>
                <c:pt idx="0">
                  <c:v>0</c:v>
                </c:pt>
                <c:pt idx="1">
                  <c:v>0.99</c:v>
                </c:pt>
                <c:pt idx="2">
                  <c:v>0.99</c:v>
                </c:pt>
                <c:pt idx="3">
                  <c:v>0.198</c:v>
                </c:pt>
                <c:pt idx="4">
                  <c:v>0</c:v>
                </c:pt>
                <c:pt idx="5">
                  <c:v>0.396</c:v>
                </c:pt>
                <c:pt idx="6">
                  <c:v>0</c:v>
                </c:pt>
                <c:pt idx="7">
                  <c:v>0</c:v>
                </c:pt>
                <c:pt idx="8">
                  <c:v>0.198</c:v>
                </c:pt>
                <c:pt idx="9">
                  <c:v>0.198</c:v>
                </c:pt>
                <c:pt idx="10">
                  <c:v>0</c:v>
                </c:pt>
                <c:pt idx="11">
                  <c:v>0.198</c:v>
                </c:pt>
                <c:pt idx="12">
                  <c:v>0.198</c:v>
                </c:pt>
                <c:pt idx="13">
                  <c:v>0.396</c:v>
                </c:pt>
                <c:pt idx="14">
                  <c:v>0.594</c:v>
                </c:pt>
                <c:pt idx="15">
                  <c:v>0</c:v>
                </c:pt>
                <c:pt idx="16">
                  <c:v>0</c:v>
                </c:pt>
                <c:pt idx="17">
                  <c:v>0</c:v>
                </c:pt>
                <c:pt idx="18">
                  <c:v>0</c:v>
                </c:pt>
                <c:pt idx="19">
                  <c:v>0.198</c:v>
                </c:pt>
                <c:pt idx="20">
                  <c:v>0</c:v>
                </c:pt>
                <c:pt idx="21">
                  <c:v>0</c:v>
                </c:pt>
                <c:pt idx="22">
                  <c:v>0</c:v>
                </c:pt>
                <c:pt idx="23">
                  <c:v>0.396</c:v>
                </c:pt>
                <c:pt idx="24">
                  <c:v>2.97</c:v>
                </c:pt>
                <c:pt idx="25">
                  <c:v>2.574</c:v>
                </c:pt>
                <c:pt idx="26">
                  <c:v>0</c:v>
                </c:pt>
                <c:pt idx="27">
                  <c:v>0.198</c:v>
                </c:pt>
                <c:pt idx="28">
                  <c:v>0.198</c:v>
                </c:pt>
                <c:pt idx="29">
                  <c:v>0</c:v>
                </c:pt>
                <c:pt idx="30">
                  <c:v>2.178</c:v>
                </c:pt>
                <c:pt idx="31">
                  <c:v>0.198</c:v>
                </c:pt>
                <c:pt idx="32">
                  <c:v>2.772</c:v>
                </c:pt>
                <c:pt idx="33">
                  <c:v>0.198</c:v>
                </c:pt>
                <c:pt idx="34">
                  <c:v>13.464</c:v>
                </c:pt>
                <c:pt idx="35">
                  <c:v>12.276</c:v>
                </c:pt>
                <c:pt idx="36">
                  <c:v>0.792</c:v>
                </c:pt>
                <c:pt idx="37">
                  <c:v>0.198</c:v>
                </c:pt>
                <c:pt idx="38">
                  <c:v>0</c:v>
                </c:pt>
                <c:pt idx="39">
                  <c:v>0</c:v>
                </c:pt>
                <c:pt idx="40">
                  <c:v>0</c:v>
                </c:pt>
                <c:pt idx="41">
                  <c:v>0.198</c:v>
                </c:pt>
                <c:pt idx="42">
                  <c:v>0.99</c:v>
                </c:pt>
                <c:pt idx="43">
                  <c:v>0.396</c:v>
                </c:pt>
                <c:pt idx="44">
                  <c:v>0.198</c:v>
                </c:pt>
                <c:pt idx="45">
                  <c:v>0</c:v>
                </c:pt>
                <c:pt idx="46">
                  <c:v>0.99</c:v>
                </c:pt>
                <c:pt idx="47">
                  <c:v>0.198</c:v>
                </c:pt>
                <c:pt idx="48">
                  <c:v>0</c:v>
                </c:pt>
                <c:pt idx="49">
                  <c:v>13.464</c:v>
                </c:pt>
                <c:pt idx="50">
                  <c:v>1.782</c:v>
                </c:pt>
                <c:pt idx="51">
                  <c:v>11.484</c:v>
                </c:pt>
                <c:pt idx="52">
                  <c:v>0.99</c:v>
                </c:pt>
                <c:pt idx="53">
                  <c:v>0.396</c:v>
                </c:pt>
                <c:pt idx="54">
                  <c:v>0</c:v>
                </c:pt>
                <c:pt idx="55">
                  <c:v>0.198</c:v>
                </c:pt>
                <c:pt idx="56">
                  <c:v>0</c:v>
                </c:pt>
                <c:pt idx="57">
                  <c:v>0.198</c:v>
                </c:pt>
                <c:pt idx="58">
                  <c:v>0</c:v>
                </c:pt>
                <c:pt idx="59">
                  <c:v>0.198</c:v>
                </c:pt>
                <c:pt idx="60">
                  <c:v>0.396</c:v>
                </c:pt>
                <c:pt idx="61">
                  <c:v>0.792</c:v>
                </c:pt>
                <c:pt idx="62">
                  <c:v>0</c:v>
                </c:pt>
                <c:pt idx="63">
                  <c:v>0.198</c:v>
                </c:pt>
                <c:pt idx="64">
                  <c:v>0</c:v>
                </c:pt>
                <c:pt idx="65">
                  <c:v>0</c:v>
                </c:pt>
                <c:pt idx="66">
                  <c:v>0.198</c:v>
                </c:pt>
                <c:pt idx="67">
                  <c:v>0</c:v>
                </c:pt>
                <c:pt idx="68">
                  <c:v>0</c:v>
                </c:pt>
                <c:pt idx="69">
                  <c:v>0</c:v>
                </c:pt>
                <c:pt idx="70">
                  <c:v>0</c:v>
                </c:pt>
                <c:pt idx="71">
                  <c:v>0.198</c:v>
                </c:pt>
                <c:pt idx="72">
                  <c:v>0</c:v>
                </c:pt>
                <c:pt idx="73">
                  <c:v>0</c:v>
                </c:pt>
                <c:pt idx="74">
                  <c:v>0</c:v>
                </c:pt>
                <c:pt idx="75">
                  <c:v>3.168</c:v>
                </c:pt>
                <c:pt idx="76">
                  <c:v>4.95</c:v>
                </c:pt>
                <c:pt idx="77">
                  <c:v>0</c:v>
                </c:pt>
                <c:pt idx="78">
                  <c:v>2.772</c:v>
                </c:pt>
                <c:pt idx="79">
                  <c:v>0.792</c:v>
                </c:pt>
                <c:pt idx="80">
                  <c:v>0</c:v>
                </c:pt>
                <c:pt idx="81">
                  <c:v>0.396</c:v>
                </c:pt>
                <c:pt idx="82">
                  <c:v>1.386</c:v>
                </c:pt>
                <c:pt idx="83">
                  <c:v>0.198</c:v>
                </c:pt>
                <c:pt idx="84">
                  <c:v>0</c:v>
                </c:pt>
                <c:pt idx="85">
                  <c:v>0</c:v>
                </c:pt>
                <c:pt idx="86">
                  <c:v>0</c:v>
                </c:pt>
                <c:pt idx="87">
                  <c:v>0.198</c:v>
                </c:pt>
                <c:pt idx="88">
                  <c:v>0</c:v>
                </c:pt>
                <c:pt idx="89">
                  <c:v>0</c:v>
                </c:pt>
                <c:pt idx="90">
                  <c:v>0</c:v>
                </c:pt>
                <c:pt idx="91">
                  <c:v>0</c:v>
                </c:pt>
                <c:pt idx="92">
                  <c:v>0</c:v>
                </c:pt>
                <c:pt idx="93">
                  <c:v>0</c:v>
                </c:pt>
                <c:pt idx="94">
                  <c:v>0</c:v>
                </c:pt>
                <c:pt idx="95">
                  <c:v>0.792</c:v>
                </c:pt>
                <c:pt idx="96">
                  <c:v>1.98</c:v>
                </c:pt>
                <c:pt idx="97">
                  <c:v>6.336</c:v>
                </c:pt>
                <c:pt idx="98">
                  <c:v>0.198</c:v>
                </c:pt>
                <c:pt idx="99">
                  <c:v>0</c:v>
                </c:pt>
                <c:pt idx="100">
                  <c:v>0</c:v>
                </c:pt>
                <c:pt idx="101">
                  <c:v>0</c:v>
                </c:pt>
                <c:pt idx="102">
                  <c:v>0</c:v>
                </c:pt>
                <c:pt idx="103">
                  <c:v>0</c:v>
                </c:pt>
                <c:pt idx="104">
                  <c:v>0.198</c:v>
                </c:pt>
                <c:pt idx="105">
                  <c:v>0.198</c:v>
                </c:pt>
                <c:pt idx="106">
                  <c:v>0</c:v>
                </c:pt>
                <c:pt idx="107">
                  <c:v>0</c:v>
                </c:pt>
                <c:pt idx="108">
                  <c:v>0</c:v>
                </c:pt>
                <c:pt idx="109">
                  <c:v>0.198</c:v>
                </c:pt>
                <c:pt idx="110">
                  <c:v>1.584</c:v>
                </c:pt>
                <c:pt idx="111">
                  <c:v>3.762</c:v>
                </c:pt>
                <c:pt idx="112">
                  <c:v>0.198</c:v>
                </c:pt>
                <c:pt idx="113">
                  <c:v>4.95</c:v>
                </c:pt>
                <c:pt idx="114">
                  <c:v>1.98</c:v>
                </c:pt>
                <c:pt idx="115">
                  <c:v>8.91</c:v>
                </c:pt>
                <c:pt idx="116">
                  <c:v>2.772</c:v>
                </c:pt>
                <c:pt idx="117">
                  <c:v>10.89</c:v>
                </c:pt>
                <c:pt idx="118">
                  <c:v>2.574</c:v>
                </c:pt>
                <c:pt idx="119">
                  <c:v>0.198</c:v>
                </c:pt>
                <c:pt idx="120">
                  <c:v>0.198</c:v>
                </c:pt>
                <c:pt idx="121">
                  <c:v>0</c:v>
                </c:pt>
                <c:pt idx="122">
                  <c:v>0</c:v>
                </c:pt>
                <c:pt idx="123">
                  <c:v>6.93</c:v>
                </c:pt>
                <c:pt idx="124">
                  <c:v>0</c:v>
                </c:pt>
                <c:pt idx="125">
                  <c:v>0.198</c:v>
                </c:pt>
                <c:pt idx="126">
                  <c:v>0</c:v>
                </c:pt>
                <c:pt idx="127">
                  <c:v>0.198</c:v>
                </c:pt>
                <c:pt idx="128">
                  <c:v>0.198</c:v>
                </c:pt>
                <c:pt idx="129">
                  <c:v>4.752</c:v>
                </c:pt>
                <c:pt idx="130">
                  <c:v>20.196</c:v>
                </c:pt>
                <c:pt idx="131">
                  <c:v>11.484</c:v>
                </c:pt>
                <c:pt idx="132">
                  <c:v>0</c:v>
                </c:pt>
                <c:pt idx="133">
                  <c:v>1.188</c:v>
                </c:pt>
                <c:pt idx="134">
                  <c:v>0</c:v>
                </c:pt>
                <c:pt idx="135">
                  <c:v>0</c:v>
                </c:pt>
                <c:pt idx="136">
                  <c:v>0.594</c:v>
                </c:pt>
                <c:pt idx="137">
                  <c:v>0.198</c:v>
                </c:pt>
                <c:pt idx="138">
                  <c:v>0</c:v>
                </c:pt>
                <c:pt idx="139">
                  <c:v>1.584</c:v>
                </c:pt>
                <c:pt idx="140">
                  <c:v>9.504</c:v>
                </c:pt>
                <c:pt idx="141">
                  <c:v>1.584</c:v>
                </c:pt>
                <c:pt idx="142">
                  <c:v>0</c:v>
                </c:pt>
                <c:pt idx="143">
                  <c:v>0</c:v>
                </c:pt>
                <c:pt idx="144">
                  <c:v>0</c:v>
                </c:pt>
                <c:pt idx="145">
                  <c:v>0</c:v>
                </c:pt>
                <c:pt idx="146">
                  <c:v>0.198</c:v>
                </c:pt>
                <c:pt idx="147">
                  <c:v>0</c:v>
                </c:pt>
                <c:pt idx="148">
                  <c:v>0</c:v>
                </c:pt>
                <c:pt idx="149">
                  <c:v>0</c:v>
                </c:pt>
                <c:pt idx="150">
                  <c:v>0</c:v>
                </c:pt>
                <c:pt idx="151">
                  <c:v>0.396</c:v>
                </c:pt>
                <c:pt idx="152">
                  <c:v>14.256</c:v>
                </c:pt>
                <c:pt idx="153">
                  <c:v>2.376</c:v>
                </c:pt>
                <c:pt idx="154">
                  <c:v>0.99</c:v>
                </c:pt>
                <c:pt idx="155">
                  <c:v>0</c:v>
                </c:pt>
                <c:pt idx="156">
                  <c:v>5.742</c:v>
                </c:pt>
                <c:pt idx="157">
                  <c:v>0.99</c:v>
                </c:pt>
                <c:pt idx="158">
                  <c:v>5.544</c:v>
                </c:pt>
                <c:pt idx="159">
                  <c:v>0.198</c:v>
                </c:pt>
                <c:pt idx="160">
                  <c:v>0</c:v>
                </c:pt>
                <c:pt idx="161">
                  <c:v>0.396</c:v>
                </c:pt>
                <c:pt idx="162">
                  <c:v>4.356</c:v>
                </c:pt>
                <c:pt idx="163">
                  <c:v>2.178</c:v>
                </c:pt>
                <c:pt idx="164">
                  <c:v>5.148</c:v>
                </c:pt>
                <c:pt idx="165">
                  <c:v>0.198</c:v>
                </c:pt>
                <c:pt idx="166">
                  <c:v>0</c:v>
                </c:pt>
                <c:pt idx="167">
                  <c:v>1.782</c:v>
                </c:pt>
                <c:pt idx="168">
                  <c:v>1.782</c:v>
                </c:pt>
                <c:pt idx="169">
                  <c:v>0.198</c:v>
                </c:pt>
                <c:pt idx="170">
                  <c:v>0</c:v>
                </c:pt>
                <c:pt idx="171">
                  <c:v>0</c:v>
                </c:pt>
                <c:pt idx="172">
                  <c:v>0</c:v>
                </c:pt>
                <c:pt idx="173">
                  <c:v>0</c:v>
                </c:pt>
                <c:pt idx="174">
                  <c:v>0</c:v>
                </c:pt>
                <c:pt idx="175">
                  <c:v>0</c:v>
                </c:pt>
                <c:pt idx="176">
                  <c:v>6.336</c:v>
                </c:pt>
                <c:pt idx="177">
                  <c:v>5.346</c:v>
                </c:pt>
                <c:pt idx="178">
                  <c:v>1.386</c:v>
                </c:pt>
                <c:pt idx="179">
                  <c:v>0</c:v>
                </c:pt>
                <c:pt idx="180">
                  <c:v>11.678</c:v>
                </c:pt>
                <c:pt idx="181">
                  <c:v>0</c:v>
                </c:pt>
                <c:pt idx="182">
                  <c:v>0</c:v>
                </c:pt>
                <c:pt idx="183">
                  <c:v>0.198</c:v>
                </c:pt>
                <c:pt idx="184">
                  <c:v>0</c:v>
                </c:pt>
                <c:pt idx="185">
                  <c:v>0</c:v>
                </c:pt>
                <c:pt idx="186">
                  <c:v>0</c:v>
                </c:pt>
                <c:pt idx="187">
                  <c:v>0</c:v>
                </c:pt>
                <c:pt idx="188">
                  <c:v>0</c:v>
                </c:pt>
                <c:pt idx="189">
                  <c:v>0</c:v>
                </c:pt>
                <c:pt idx="190">
                  <c:v>0</c:v>
                </c:pt>
                <c:pt idx="191">
                  <c:v>0</c:v>
                </c:pt>
                <c:pt idx="192">
                  <c:v>0</c:v>
                </c:pt>
                <c:pt idx="193">
                  <c:v>0</c:v>
                </c:pt>
                <c:pt idx="194">
                  <c:v>18.02</c:v>
                </c:pt>
                <c:pt idx="195">
                  <c:v>31.284</c:v>
                </c:pt>
                <c:pt idx="196">
                  <c:v>13.662</c:v>
                </c:pt>
                <c:pt idx="197">
                  <c:v>1.584</c:v>
                </c:pt>
                <c:pt idx="198">
                  <c:v>10.692</c:v>
                </c:pt>
                <c:pt idx="199">
                  <c:v>2.574</c:v>
                </c:pt>
                <c:pt idx="200">
                  <c:v>2.97</c:v>
                </c:pt>
                <c:pt idx="201">
                  <c:v>0</c:v>
                </c:pt>
                <c:pt idx="202">
                  <c:v>0</c:v>
                </c:pt>
                <c:pt idx="203">
                  <c:v>0</c:v>
                </c:pt>
                <c:pt idx="204">
                  <c:v>0</c:v>
                </c:pt>
                <c:pt idx="205">
                  <c:v>0</c:v>
                </c:pt>
                <c:pt idx="206">
                  <c:v>0</c:v>
                </c:pt>
                <c:pt idx="207">
                  <c:v>2.178</c:v>
                </c:pt>
                <c:pt idx="208">
                  <c:v>17.226</c:v>
                </c:pt>
                <c:pt idx="209">
                  <c:v>0</c:v>
                </c:pt>
                <c:pt idx="210">
                  <c:v>1.188</c:v>
                </c:pt>
                <c:pt idx="211">
                  <c:v>0.594</c:v>
                </c:pt>
                <c:pt idx="212">
                  <c:v>0</c:v>
                </c:pt>
                <c:pt idx="213">
                  <c:v>9.108</c:v>
                </c:pt>
                <c:pt idx="214">
                  <c:v>0.198</c:v>
                </c:pt>
                <c:pt idx="215">
                  <c:v>0</c:v>
                </c:pt>
                <c:pt idx="216">
                  <c:v>0.198</c:v>
                </c:pt>
                <c:pt idx="217">
                  <c:v>0</c:v>
                </c:pt>
                <c:pt idx="218">
                  <c:v>0</c:v>
                </c:pt>
                <c:pt idx="219">
                  <c:v>21.58</c:v>
                </c:pt>
                <c:pt idx="220">
                  <c:v>34.452</c:v>
                </c:pt>
                <c:pt idx="221">
                  <c:v>5.148</c:v>
                </c:pt>
                <c:pt idx="222">
                  <c:v>11.682</c:v>
                </c:pt>
                <c:pt idx="223">
                  <c:v>0</c:v>
                </c:pt>
                <c:pt idx="224">
                  <c:v>4.158</c:v>
                </c:pt>
                <c:pt idx="225">
                  <c:v>1.584</c:v>
                </c:pt>
                <c:pt idx="226">
                  <c:v>3.168</c:v>
                </c:pt>
                <c:pt idx="227">
                  <c:v>0</c:v>
                </c:pt>
                <c:pt idx="228">
                  <c:v>1.188</c:v>
                </c:pt>
                <c:pt idx="229">
                  <c:v>12.474</c:v>
                </c:pt>
                <c:pt idx="230">
                  <c:v>0</c:v>
                </c:pt>
                <c:pt idx="231">
                  <c:v>0.594</c:v>
                </c:pt>
                <c:pt idx="232">
                  <c:v>0.198</c:v>
                </c:pt>
                <c:pt idx="233">
                  <c:v>0</c:v>
                </c:pt>
                <c:pt idx="234">
                  <c:v>0</c:v>
                </c:pt>
                <c:pt idx="235">
                  <c:v>2.772</c:v>
                </c:pt>
                <c:pt idx="236">
                  <c:v>0.198</c:v>
                </c:pt>
                <c:pt idx="237">
                  <c:v>0</c:v>
                </c:pt>
                <c:pt idx="238">
                  <c:v>0</c:v>
                </c:pt>
                <c:pt idx="239">
                  <c:v>4.158</c:v>
                </c:pt>
                <c:pt idx="240">
                  <c:v>13.666</c:v>
                </c:pt>
                <c:pt idx="241">
                  <c:v>5.346</c:v>
                </c:pt>
                <c:pt idx="242">
                  <c:v>0</c:v>
                </c:pt>
                <c:pt idx="243">
                  <c:v>0</c:v>
                </c:pt>
                <c:pt idx="244">
                  <c:v>0</c:v>
                </c:pt>
                <c:pt idx="245">
                  <c:v>5.544</c:v>
                </c:pt>
                <c:pt idx="246">
                  <c:v>6.336</c:v>
                </c:pt>
                <c:pt idx="247">
                  <c:v>0</c:v>
                </c:pt>
                <c:pt idx="248">
                  <c:v>0</c:v>
                </c:pt>
                <c:pt idx="249">
                  <c:v>0.198</c:v>
                </c:pt>
                <c:pt idx="250">
                  <c:v>0.99</c:v>
                </c:pt>
                <c:pt idx="251">
                  <c:v>0.396</c:v>
                </c:pt>
                <c:pt idx="252">
                  <c:v>0</c:v>
                </c:pt>
                <c:pt idx="253">
                  <c:v>0</c:v>
                </c:pt>
                <c:pt idx="254">
                  <c:v>0</c:v>
                </c:pt>
                <c:pt idx="255">
                  <c:v>0</c:v>
                </c:pt>
                <c:pt idx="256">
                  <c:v>0.396</c:v>
                </c:pt>
                <c:pt idx="257">
                  <c:v>0</c:v>
                </c:pt>
                <c:pt idx="258">
                  <c:v>2.376</c:v>
                </c:pt>
                <c:pt idx="259">
                  <c:v>1.188</c:v>
                </c:pt>
                <c:pt idx="260">
                  <c:v>0</c:v>
                </c:pt>
                <c:pt idx="261">
                  <c:v>0</c:v>
                </c:pt>
                <c:pt idx="262">
                  <c:v>0</c:v>
                </c:pt>
                <c:pt idx="263">
                  <c:v>1.188</c:v>
                </c:pt>
                <c:pt idx="264">
                  <c:v>3.564</c:v>
                </c:pt>
                <c:pt idx="265">
                  <c:v>4.158</c:v>
                </c:pt>
                <c:pt idx="266">
                  <c:v>2.574</c:v>
                </c:pt>
                <c:pt idx="267">
                  <c:v>0.198</c:v>
                </c:pt>
                <c:pt idx="268">
                  <c:v>0</c:v>
                </c:pt>
                <c:pt idx="269">
                  <c:v>0</c:v>
                </c:pt>
                <c:pt idx="270">
                  <c:v>0</c:v>
                </c:pt>
              </c:numCache>
            </c:numRef>
          </c:val>
        </c:ser>
        <c:ser>
          <c:idx val="1"/>
          <c:order val="1"/>
          <c:tx>
            <c:strRef>
              <c:f>'SAMIR_ex_blé TLS'!$E$14</c:f>
              <c:strCache>
                <c:ptCount val="1"/>
                <c:pt idx="0">
                  <c:v>Ir_obs</c:v>
                </c:pt>
              </c:strCache>
            </c:strRef>
          </c:tx>
          <c:spPr>
            <a:solidFill>
              <a:srgbClr val="92D050"/>
            </a:solidFill>
            <a:ln>
              <a:noFill/>
            </a:ln>
          </c:spPr>
          <c:invertIfNegative val="0"/>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outEnd"/>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TLS'!$E$15:$E$502</c:f>
              <c:numCache>
                <c:formatCode>0.000</c:formatCode>
                <c:ptCount val="48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numCache>
            </c:numRef>
          </c:val>
        </c:ser>
        <c:ser>
          <c:idx val="2"/>
          <c:order val="2"/>
          <c:tx>
            <c:strRef>
              <c:f>'SAMIR_ex_blé TLS'!$X$14</c:f>
              <c:strCache>
                <c:ptCount val="1"/>
                <c:pt idx="0">
                  <c:v>Ir_auto</c:v>
                </c:pt>
              </c:strCache>
            </c:strRef>
          </c:tx>
          <c:spPr>
            <a:solidFill>
              <a:srgbClr val="00B0F0"/>
            </a:solidFill>
            <a:ln>
              <a:noFill/>
            </a:ln>
          </c:spPr>
          <c:invertIfNegative val="0"/>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outEnd"/>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TLS'!$X$15:$X$502</c:f>
              <c:numCache>
                <c:formatCode>0.0</c:formatCode>
                <c:ptCount val="48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48.2439822821253</c:v>
                </c:pt>
                <c:pt idx="192">
                  <c:v>50</c:v>
                </c:pt>
                <c:pt idx="193">
                  <c:v>50</c:v>
                </c:pt>
                <c:pt idx="194">
                  <c:v>40.4230355829014</c:v>
                </c:pt>
                <c:pt idx="195">
                  <c:v>13.5439973384181</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numCache>
            </c:numRef>
          </c:val>
        </c:ser>
        <c:dLbls>
          <c:showLegendKey val="0"/>
          <c:showVal val="0"/>
          <c:showCatName val="0"/>
          <c:showSerName val="0"/>
          <c:showPercent val="0"/>
          <c:showBubbleSize val="1"/>
        </c:dLbls>
        <c:gapWidth val="0"/>
        <c:overlap val="0"/>
        <c:axId val="63470579"/>
        <c:axId val="84563543"/>
      </c:barChart>
      <c:lineChart>
        <c:grouping val="standard"/>
        <c:varyColors val="0"/>
        <c:ser>
          <c:idx val="3"/>
          <c:order val="3"/>
          <c:tx>
            <c:strRef>
              <c:f>'SAMIR_ex_blé TLS'!$B$14</c:f>
              <c:strCache>
                <c:ptCount val="1"/>
                <c:pt idx="0">
                  <c:v>ET0</c:v>
                </c:pt>
              </c:strCache>
            </c:strRef>
          </c:tx>
          <c:spPr>
            <a:ln w="12600" cap="rnd" cmpd="sng" algn="ctr">
              <a:solidFill>
                <a:srgbClr val="426FA6"/>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TLS'!$B$15:$B$502</c:f>
              <c:numCache>
                <c:formatCode>General</c:formatCode>
                <c:ptCount val="488"/>
                <c:pt idx="0">
                  <c:v>1.516</c:v>
                </c:pt>
                <c:pt idx="1">
                  <c:v>1.425</c:v>
                </c:pt>
                <c:pt idx="2">
                  <c:v>0.997</c:v>
                </c:pt>
                <c:pt idx="3">
                  <c:v>1.567</c:v>
                </c:pt>
                <c:pt idx="4">
                  <c:v>1.654</c:v>
                </c:pt>
                <c:pt idx="5">
                  <c:v>1.485</c:v>
                </c:pt>
                <c:pt idx="6">
                  <c:v>1.765</c:v>
                </c:pt>
                <c:pt idx="7">
                  <c:v>1.457</c:v>
                </c:pt>
                <c:pt idx="8">
                  <c:v>1.645</c:v>
                </c:pt>
                <c:pt idx="9">
                  <c:v>1.364</c:v>
                </c:pt>
                <c:pt idx="10">
                  <c:v>1.514</c:v>
                </c:pt>
                <c:pt idx="11">
                  <c:v>1.393</c:v>
                </c:pt>
                <c:pt idx="12">
                  <c:v>1.363</c:v>
                </c:pt>
                <c:pt idx="13">
                  <c:v>1.233</c:v>
                </c:pt>
                <c:pt idx="14">
                  <c:v>1.216</c:v>
                </c:pt>
                <c:pt idx="15">
                  <c:v>1.345</c:v>
                </c:pt>
                <c:pt idx="16">
                  <c:v>1.439</c:v>
                </c:pt>
                <c:pt idx="17">
                  <c:v>1.2</c:v>
                </c:pt>
                <c:pt idx="18">
                  <c:v>1.147</c:v>
                </c:pt>
                <c:pt idx="19">
                  <c:v>1.048</c:v>
                </c:pt>
                <c:pt idx="20">
                  <c:v>1.316</c:v>
                </c:pt>
                <c:pt idx="21">
                  <c:v>1.128</c:v>
                </c:pt>
                <c:pt idx="22">
                  <c:v>0.697</c:v>
                </c:pt>
                <c:pt idx="23">
                  <c:v>0.761</c:v>
                </c:pt>
                <c:pt idx="24">
                  <c:v>0.493</c:v>
                </c:pt>
                <c:pt idx="25">
                  <c:v>0.81</c:v>
                </c:pt>
                <c:pt idx="26">
                  <c:v>0.796</c:v>
                </c:pt>
                <c:pt idx="27">
                  <c:v>0.646</c:v>
                </c:pt>
                <c:pt idx="28">
                  <c:v>1.362</c:v>
                </c:pt>
                <c:pt idx="29">
                  <c:v>1.671</c:v>
                </c:pt>
                <c:pt idx="30">
                  <c:v>0.756</c:v>
                </c:pt>
                <c:pt idx="31">
                  <c:v>0.792</c:v>
                </c:pt>
                <c:pt idx="32">
                  <c:v>0.728</c:v>
                </c:pt>
                <c:pt idx="33">
                  <c:v>0.613</c:v>
                </c:pt>
                <c:pt idx="34">
                  <c:v>0.935</c:v>
                </c:pt>
                <c:pt idx="35">
                  <c:v>0.492</c:v>
                </c:pt>
                <c:pt idx="36">
                  <c:v>1.064</c:v>
                </c:pt>
                <c:pt idx="37">
                  <c:v>0.986</c:v>
                </c:pt>
                <c:pt idx="38">
                  <c:v>1.313</c:v>
                </c:pt>
                <c:pt idx="39">
                  <c:v>0.678</c:v>
                </c:pt>
                <c:pt idx="40">
                  <c:v>0.85</c:v>
                </c:pt>
                <c:pt idx="41">
                  <c:v>0.649</c:v>
                </c:pt>
                <c:pt idx="42">
                  <c:v>0.527</c:v>
                </c:pt>
                <c:pt idx="43">
                  <c:v>0.298</c:v>
                </c:pt>
                <c:pt idx="44">
                  <c:v>0.624</c:v>
                </c:pt>
                <c:pt idx="45">
                  <c:v>0.411</c:v>
                </c:pt>
                <c:pt idx="46">
                  <c:v>0.407</c:v>
                </c:pt>
                <c:pt idx="47">
                  <c:v>0.73</c:v>
                </c:pt>
                <c:pt idx="48">
                  <c:v>0.665</c:v>
                </c:pt>
                <c:pt idx="49">
                  <c:v>0.655</c:v>
                </c:pt>
                <c:pt idx="50">
                  <c:v>0.423</c:v>
                </c:pt>
                <c:pt idx="51">
                  <c:v>0.757</c:v>
                </c:pt>
                <c:pt idx="52">
                  <c:v>0.512</c:v>
                </c:pt>
                <c:pt idx="53">
                  <c:v>0.36</c:v>
                </c:pt>
                <c:pt idx="54">
                  <c:v>0.305</c:v>
                </c:pt>
                <c:pt idx="55">
                  <c:v>0.37</c:v>
                </c:pt>
                <c:pt idx="56">
                  <c:v>0.344</c:v>
                </c:pt>
                <c:pt idx="57">
                  <c:v>0.251</c:v>
                </c:pt>
                <c:pt idx="58">
                  <c:v>0.604</c:v>
                </c:pt>
                <c:pt idx="59">
                  <c:v>0.401</c:v>
                </c:pt>
                <c:pt idx="60">
                  <c:v>0.402</c:v>
                </c:pt>
                <c:pt idx="61">
                  <c:v>0.295</c:v>
                </c:pt>
                <c:pt idx="62">
                  <c:v>0.33</c:v>
                </c:pt>
                <c:pt idx="63">
                  <c:v>0.154</c:v>
                </c:pt>
                <c:pt idx="64">
                  <c:v>0.204</c:v>
                </c:pt>
                <c:pt idx="65">
                  <c:v>0.31</c:v>
                </c:pt>
                <c:pt idx="66">
                  <c:v>0.178</c:v>
                </c:pt>
                <c:pt idx="67">
                  <c:v>0.258</c:v>
                </c:pt>
                <c:pt idx="68">
                  <c:v>0.26</c:v>
                </c:pt>
                <c:pt idx="69">
                  <c:v>0.226</c:v>
                </c:pt>
                <c:pt idx="70">
                  <c:v>0.255</c:v>
                </c:pt>
                <c:pt idx="71">
                  <c:v>0.299</c:v>
                </c:pt>
                <c:pt idx="72">
                  <c:v>0.386</c:v>
                </c:pt>
                <c:pt idx="73">
                  <c:v>0.967</c:v>
                </c:pt>
                <c:pt idx="74">
                  <c:v>0.475</c:v>
                </c:pt>
                <c:pt idx="75">
                  <c:v>0.488</c:v>
                </c:pt>
                <c:pt idx="76">
                  <c:v>0.807</c:v>
                </c:pt>
                <c:pt idx="77">
                  <c:v>0.395</c:v>
                </c:pt>
                <c:pt idx="78">
                  <c:v>0.916</c:v>
                </c:pt>
                <c:pt idx="79">
                  <c:v>0.489</c:v>
                </c:pt>
                <c:pt idx="80">
                  <c:v>0.446</c:v>
                </c:pt>
                <c:pt idx="81">
                  <c:v>0.435</c:v>
                </c:pt>
                <c:pt idx="82">
                  <c:v>0.666</c:v>
                </c:pt>
                <c:pt idx="83">
                  <c:v>0.495</c:v>
                </c:pt>
                <c:pt idx="84">
                  <c:v>0.604</c:v>
                </c:pt>
                <c:pt idx="85">
                  <c:v>0.715</c:v>
                </c:pt>
                <c:pt idx="86">
                  <c:v>0.556</c:v>
                </c:pt>
                <c:pt idx="87">
                  <c:v>0.36</c:v>
                </c:pt>
                <c:pt idx="88">
                  <c:v>0.622</c:v>
                </c:pt>
                <c:pt idx="89">
                  <c:v>0.555</c:v>
                </c:pt>
                <c:pt idx="90">
                  <c:v>0.524</c:v>
                </c:pt>
                <c:pt idx="91">
                  <c:v>0.557</c:v>
                </c:pt>
                <c:pt idx="92">
                  <c:v>1.405</c:v>
                </c:pt>
                <c:pt idx="93">
                  <c:v>0.754</c:v>
                </c:pt>
                <c:pt idx="94">
                  <c:v>0.578</c:v>
                </c:pt>
                <c:pt idx="95">
                  <c:v>0.641</c:v>
                </c:pt>
                <c:pt idx="96">
                  <c:v>0.671</c:v>
                </c:pt>
                <c:pt idx="97">
                  <c:v>0.479</c:v>
                </c:pt>
                <c:pt idx="98">
                  <c:v>0.639</c:v>
                </c:pt>
                <c:pt idx="99">
                  <c:v>0.776</c:v>
                </c:pt>
                <c:pt idx="100">
                  <c:v>0.513</c:v>
                </c:pt>
                <c:pt idx="101">
                  <c:v>0.569</c:v>
                </c:pt>
                <c:pt idx="102">
                  <c:v>0.285</c:v>
                </c:pt>
                <c:pt idx="103">
                  <c:v>0.268</c:v>
                </c:pt>
                <c:pt idx="104">
                  <c:v>0.4</c:v>
                </c:pt>
                <c:pt idx="105">
                  <c:v>0.403</c:v>
                </c:pt>
                <c:pt idx="106">
                  <c:v>0.375</c:v>
                </c:pt>
                <c:pt idx="107">
                  <c:v>0.448</c:v>
                </c:pt>
                <c:pt idx="108">
                  <c:v>0.604</c:v>
                </c:pt>
                <c:pt idx="109">
                  <c:v>0.685</c:v>
                </c:pt>
                <c:pt idx="110">
                  <c:v>0.711</c:v>
                </c:pt>
                <c:pt idx="111">
                  <c:v>0.478</c:v>
                </c:pt>
                <c:pt idx="112">
                  <c:v>0.998</c:v>
                </c:pt>
                <c:pt idx="113">
                  <c:v>0.613</c:v>
                </c:pt>
                <c:pt idx="114">
                  <c:v>1.092</c:v>
                </c:pt>
                <c:pt idx="115">
                  <c:v>0.894</c:v>
                </c:pt>
                <c:pt idx="116">
                  <c:v>0.974</c:v>
                </c:pt>
                <c:pt idx="117">
                  <c:v>1.025</c:v>
                </c:pt>
                <c:pt idx="118">
                  <c:v>1.177</c:v>
                </c:pt>
                <c:pt idx="119">
                  <c:v>1.331</c:v>
                </c:pt>
                <c:pt idx="120">
                  <c:v>1.569</c:v>
                </c:pt>
                <c:pt idx="121">
                  <c:v>1.81</c:v>
                </c:pt>
                <c:pt idx="122">
                  <c:v>1.223</c:v>
                </c:pt>
                <c:pt idx="123">
                  <c:v>0.598</c:v>
                </c:pt>
                <c:pt idx="124">
                  <c:v>1.176</c:v>
                </c:pt>
                <c:pt idx="125">
                  <c:v>0.977</c:v>
                </c:pt>
                <c:pt idx="126">
                  <c:v>0.664</c:v>
                </c:pt>
                <c:pt idx="127">
                  <c:v>0.695</c:v>
                </c:pt>
                <c:pt idx="128">
                  <c:v>1.48</c:v>
                </c:pt>
                <c:pt idx="129">
                  <c:v>0.907</c:v>
                </c:pt>
                <c:pt idx="130">
                  <c:v>1</c:v>
                </c:pt>
                <c:pt idx="131">
                  <c:v>1.007</c:v>
                </c:pt>
                <c:pt idx="132">
                  <c:v>1.058</c:v>
                </c:pt>
                <c:pt idx="133">
                  <c:v>1.335</c:v>
                </c:pt>
                <c:pt idx="134">
                  <c:v>1.621</c:v>
                </c:pt>
                <c:pt idx="135">
                  <c:v>1.28</c:v>
                </c:pt>
                <c:pt idx="136">
                  <c:v>0.988</c:v>
                </c:pt>
                <c:pt idx="137">
                  <c:v>1.923</c:v>
                </c:pt>
                <c:pt idx="138">
                  <c:v>1.651</c:v>
                </c:pt>
                <c:pt idx="139">
                  <c:v>1.173</c:v>
                </c:pt>
                <c:pt idx="140">
                  <c:v>1.275</c:v>
                </c:pt>
                <c:pt idx="141">
                  <c:v>1.713</c:v>
                </c:pt>
                <c:pt idx="142">
                  <c:v>1.367</c:v>
                </c:pt>
                <c:pt idx="143">
                  <c:v>2.14</c:v>
                </c:pt>
                <c:pt idx="144">
                  <c:v>2.179</c:v>
                </c:pt>
                <c:pt idx="145">
                  <c:v>2.069</c:v>
                </c:pt>
                <c:pt idx="146">
                  <c:v>2.1</c:v>
                </c:pt>
                <c:pt idx="147">
                  <c:v>1.925</c:v>
                </c:pt>
                <c:pt idx="148">
                  <c:v>2.178</c:v>
                </c:pt>
                <c:pt idx="149">
                  <c:v>1.841</c:v>
                </c:pt>
                <c:pt idx="150">
                  <c:v>2.309</c:v>
                </c:pt>
                <c:pt idx="151">
                  <c:v>1.007</c:v>
                </c:pt>
                <c:pt idx="152">
                  <c:v>1.231</c:v>
                </c:pt>
                <c:pt idx="153">
                  <c:v>1.244</c:v>
                </c:pt>
                <c:pt idx="154">
                  <c:v>1.094</c:v>
                </c:pt>
                <c:pt idx="155">
                  <c:v>1.429</c:v>
                </c:pt>
                <c:pt idx="156">
                  <c:v>1.196</c:v>
                </c:pt>
                <c:pt idx="157">
                  <c:v>1.198</c:v>
                </c:pt>
                <c:pt idx="158">
                  <c:v>0.804</c:v>
                </c:pt>
                <c:pt idx="159">
                  <c:v>1.947</c:v>
                </c:pt>
                <c:pt idx="160">
                  <c:v>2.633</c:v>
                </c:pt>
                <c:pt idx="161">
                  <c:v>1.129</c:v>
                </c:pt>
                <c:pt idx="162">
                  <c:v>2.049</c:v>
                </c:pt>
                <c:pt idx="163">
                  <c:v>1.296</c:v>
                </c:pt>
                <c:pt idx="164">
                  <c:v>1.131</c:v>
                </c:pt>
                <c:pt idx="165">
                  <c:v>1.824</c:v>
                </c:pt>
                <c:pt idx="166">
                  <c:v>2.45</c:v>
                </c:pt>
                <c:pt idx="167">
                  <c:v>1.66</c:v>
                </c:pt>
                <c:pt idx="168">
                  <c:v>1.483</c:v>
                </c:pt>
                <c:pt idx="169">
                  <c:v>1.665</c:v>
                </c:pt>
                <c:pt idx="170">
                  <c:v>2.498</c:v>
                </c:pt>
                <c:pt idx="171">
                  <c:v>2.982</c:v>
                </c:pt>
                <c:pt idx="172">
                  <c:v>3.087</c:v>
                </c:pt>
                <c:pt idx="173">
                  <c:v>2.985</c:v>
                </c:pt>
                <c:pt idx="174">
                  <c:v>3.022</c:v>
                </c:pt>
                <c:pt idx="175">
                  <c:v>2.839</c:v>
                </c:pt>
                <c:pt idx="176">
                  <c:v>2.079</c:v>
                </c:pt>
                <c:pt idx="177">
                  <c:v>0.84</c:v>
                </c:pt>
                <c:pt idx="178">
                  <c:v>0.963</c:v>
                </c:pt>
                <c:pt idx="179">
                  <c:v>1.334</c:v>
                </c:pt>
                <c:pt idx="180">
                  <c:v>1.21</c:v>
                </c:pt>
                <c:pt idx="181">
                  <c:v>2.726</c:v>
                </c:pt>
                <c:pt idx="182">
                  <c:v>2.767</c:v>
                </c:pt>
                <c:pt idx="183">
                  <c:v>3.6</c:v>
                </c:pt>
                <c:pt idx="184">
                  <c:v>3.74</c:v>
                </c:pt>
                <c:pt idx="185">
                  <c:v>3.844</c:v>
                </c:pt>
                <c:pt idx="186">
                  <c:v>3.683</c:v>
                </c:pt>
                <c:pt idx="187">
                  <c:v>4.171</c:v>
                </c:pt>
                <c:pt idx="188">
                  <c:v>4.232</c:v>
                </c:pt>
                <c:pt idx="189">
                  <c:v>1.915</c:v>
                </c:pt>
                <c:pt idx="190">
                  <c:v>3.149</c:v>
                </c:pt>
                <c:pt idx="191">
                  <c:v>3.293</c:v>
                </c:pt>
                <c:pt idx="192">
                  <c:v>3.873</c:v>
                </c:pt>
                <c:pt idx="193">
                  <c:v>3.627</c:v>
                </c:pt>
                <c:pt idx="194">
                  <c:v>3.918</c:v>
                </c:pt>
                <c:pt idx="195">
                  <c:v>0.601</c:v>
                </c:pt>
                <c:pt idx="196">
                  <c:v>2.603</c:v>
                </c:pt>
                <c:pt idx="197">
                  <c:v>2.463</c:v>
                </c:pt>
                <c:pt idx="198">
                  <c:v>2.309</c:v>
                </c:pt>
                <c:pt idx="199">
                  <c:v>2.141</c:v>
                </c:pt>
                <c:pt idx="200">
                  <c:v>3.161</c:v>
                </c:pt>
                <c:pt idx="201">
                  <c:v>1.794</c:v>
                </c:pt>
                <c:pt idx="202">
                  <c:v>2.617</c:v>
                </c:pt>
                <c:pt idx="203">
                  <c:v>4.04</c:v>
                </c:pt>
                <c:pt idx="204">
                  <c:v>4.832</c:v>
                </c:pt>
                <c:pt idx="205">
                  <c:v>4.305</c:v>
                </c:pt>
                <c:pt idx="206">
                  <c:v>4.587</c:v>
                </c:pt>
                <c:pt idx="207">
                  <c:v>4</c:v>
                </c:pt>
                <c:pt idx="208">
                  <c:v>2.01</c:v>
                </c:pt>
                <c:pt idx="209">
                  <c:v>3.488</c:v>
                </c:pt>
                <c:pt idx="210">
                  <c:v>2.12</c:v>
                </c:pt>
                <c:pt idx="211">
                  <c:v>1.43</c:v>
                </c:pt>
                <c:pt idx="212">
                  <c:v>2.516</c:v>
                </c:pt>
                <c:pt idx="213">
                  <c:v>1.543</c:v>
                </c:pt>
                <c:pt idx="214">
                  <c:v>2.249</c:v>
                </c:pt>
                <c:pt idx="215">
                  <c:v>3.391</c:v>
                </c:pt>
                <c:pt idx="216">
                  <c:v>3.331</c:v>
                </c:pt>
                <c:pt idx="217">
                  <c:v>4.448</c:v>
                </c:pt>
                <c:pt idx="218">
                  <c:v>4.366</c:v>
                </c:pt>
                <c:pt idx="219">
                  <c:v>2.005</c:v>
                </c:pt>
                <c:pt idx="220">
                  <c:v>0.929</c:v>
                </c:pt>
                <c:pt idx="221">
                  <c:v>3.308</c:v>
                </c:pt>
                <c:pt idx="222">
                  <c:v>2.151</c:v>
                </c:pt>
                <c:pt idx="223">
                  <c:v>2.602</c:v>
                </c:pt>
                <c:pt idx="224">
                  <c:v>4.179</c:v>
                </c:pt>
                <c:pt idx="225">
                  <c:v>2.099</c:v>
                </c:pt>
                <c:pt idx="226">
                  <c:v>2.959</c:v>
                </c:pt>
                <c:pt idx="227">
                  <c:v>3.153</c:v>
                </c:pt>
                <c:pt idx="228">
                  <c:v>3.907</c:v>
                </c:pt>
                <c:pt idx="229">
                  <c:v>1.275</c:v>
                </c:pt>
                <c:pt idx="230">
                  <c:v>3.393</c:v>
                </c:pt>
                <c:pt idx="231">
                  <c:v>2.676</c:v>
                </c:pt>
                <c:pt idx="232">
                  <c:v>4.431</c:v>
                </c:pt>
                <c:pt idx="233">
                  <c:v>4.76</c:v>
                </c:pt>
                <c:pt idx="234">
                  <c:v>5.278</c:v>
                </c:pt>
                <c:pt idx="235">
                  <c:v>4.299</c:v>
                </c:pt>
                <c:pt idx="236">
                  <c:v>3.532</c:v>
                </c:pt>
                <c:pt idx="237">
                  <c:v>5.222</c:v>
                </c:pt>
                <c:pt idx="238">
                  <c:v>4.546</c:v>
                </c:pt>
                <c:pt idx="239">
                  <c:v>3.572</c:v>
                </c:pt>
                <c:pt idx="240">
                  <c:v>3.878</c:v>
                </c:pt>
                <c:pt idx="241">
                  <c:v>4.823</c:v>
                </c:pt>
                <c:pt idx="242">
                  <c:v>3.092</c:v>
                </c:pt>
                <c:pt idx="243">
                  <c:v>5.074</c:v>
                </c:pt>
                <c:pt idx="244">
                  <c:v>4.851</c:v>
                </c:pt>
                <c:pt idx="245">
                  <c:v>5.409</c:v>
                </c:pt>
                <c:pt idx="246">
                  <c:v>3.738</c:v>
                </c:pt>
                <c:pt idx="247">
                  <c:v>3.932</c:v>
                </c:pt>
                <c:pt idx="248">
                  <c:v>3.46</c:v>
                </c:pt>
                <c:pt idx="249">
                  <c:v>4.582</c:v>
                </c:pt>
                <c:pt idx="250">
                  <c:v>1.528</c:v>
                </c:pt>
                <c:pt idx="251">
                  <c:v>3.355</c:v>
                </c:pt>
                <c:pt idx="252">
                  <c:v>3.137</c:v>
                </c:pt>
                <c:pt idx="253">
                  <c:v>4.741</c:v>
                </c:pt>
                <c:pt idx="254">
                  <c:v>3.561</c:v>
                </c:pt>
                <c:pt idx="255">
                  <c:v>5.745</c:v>
                </c:pt>
                <c:pt idx="256">
                  <c:v>1.63</c:v>
                </c:pt>
                <c:pt idx="257">
                  <c:v>3.487</c:v>
                </c:pt>
                <c:pt idx="258">
                  <c:v>3.493</c:v>
                </c:pt>
                <c:pt idx="259">
                  <c:v>3.619</c:v>
                </c:pt>
                <c:pt idx="260">
                  <c:v>4.782</c:v>
                </c:pt>
                <c:pt idx="261">
                  <c:v>5.725</c:v>
                </c:pt>
                <c:pt idx="262">
                  <c:v>5.781</c:v>
                </c:pt>
                <c:pt idx="263">
                  <c:v>1.454</c:v>
                </c:pt>
                <c:pt idx="264">
                  <c:v>3.302</c:v>
                </c:pt>
                <c:pt idx="265">
                  <c:v>4.191</c:v>
                </c:pt>
                <c:pt idx="266">
                  <c:v>2.928</c:v>
                </c:pt>
                <c:pt idx="267">
                  <c:v>4.885</c:v>
                </c:pt>
                <c:pt idx="268">
                  <c:v>6.184</c:v>
                </c:pt>
                <c:pt idx="269">
                  <c:v>4.962</c:v>
                </c:pt>
                <c:pt idx="270">
                  <c:v>6.402</c:v>
                </c:pt>
              </c:numCache>
            </c:numRef>
          </c:val>
          <c:smooth val="1"/>
        </c:ser>
        <c:ser>
          <c:idx val="4"/>
          <c:order val="4"/>
          <c:tx>
            <c:strRef>
              <c:f>'SAMIR_ex_blé TLS'!$D$14</c:f>
              <c:strCache>
                <c:ptCount val="1"/>
                <c:pt idx="0">
                  <c:v>NDVI</c:v>
                </c:pt>
              </c:strCache>
            </c:strRef>
          </c:tx>
          <c:spPr>
            <a:ln w="28440" cap="rnd" cmpd="sng" algn="ctr">
              <a:solidFill>
                <a:srgbClr val="87A44B"/>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TLS'!$D$15:$D$502</c:f>
              <c:numCache>
                <c:formatCode>General</c:formatCode>
                <c:ptCount val="488"/>
                <c:pt idx="0">
                  <c:v>0.245</c:v>
                </c:pt>
                <c:pt idx="1">
                  <c:v>0.245</c:v>
                </c:pt>
                <c:pt idx="2">
                  <c:v>0.245</c:v>
                </c:pt>
                <c:pt idx="3">
                  <c:v>0.245</c:v>
                </c:pt>
                <c:pt idx="4">
                  <c:v>0.244</c:v>
                </c:pt>
                <c:pt idx="5">
                  <c:v>0.244</c:v>
                </c:pt>
                <c:pt idx="6">
                  <c:v>0.244</c:v>
                </c:pt>
                <c:pt idx="7">
                  <c:v>0.244</c:v>
                </c:pt>
                <c:pt idx="8">
                  <c:v>0.244</c:v>
                </c:pt>
                <c:pt idx="9">
                  <c:v>0.244</c:v>
                </c:pt>
                <c:pt idx="10">
                  <c:v>0.243</c:v>
                </c:pt>
                <c:pt idx="11">
                  <c:v>0.243</c:v>
                </c:pt>
                <c:pt idx="12">
                  <c:v>0.243</c:v>
                </c:pt>
                <c:pt idx="13">
                  <c:v>0.26</c:v>
                </c:pt>
                <c:pt idx="14">
                  <c:v>0.276</c:v>
                </c:pt>
                <c:pt idx="15">
                  <c:v>0.292</c:v>
                </c:pt>
                <c:pt idx="16">
                  <c:v>0.291</c:v>
                </c:pt>
                <c:pt idx="17">
                  <c:v>0.29</c:v>
                </c:pt>
                <c:pt idx="18">
                  <c:v>0.288</c:v>
                </c:pt>
                <c:pt idx="19">
                  <c:v>0.296</c:v>
                </c:pt>
                <c:pt idx="20">
                  <c:v>0.304</c:v>
                </c:pt>
                <c:pt idx="21">
                  <c:v>0.313</c:v>
                </c:pt>
                <c:pt idx="22">
                  <c:v>0.321</c:v>
                </c:pt>
                <c:pt idx="23">
                  <c:v>0.329</c:v>
                </c:pt>
                <c:pt idx="24">
                  <c:v>0.337</c:v>
                </c:pt>
                <c:pt idx="25">
                  <c:v>0.345</c:v>
                </c:pt>
                <c:pt idx="26">
                  <c:v>0.353</c:v>
                </c:pt>
                <c:pt idx="27">
                  <c:v>0.361</c:v>
                </c:pt>
                <c:pt idx="28">
                  <c:v>0.373</c:v>
                </c:pt>
                <c:pt idx="29">
                  <c:v>0.384</c:v>
                </c:pt>
                <c:pt idx="30">
                  <c:v>0.395</c:v>
                </c:pt>
                <c:pt idx="31">
                  <c:v>0.406</c:v>
                </c:pt>
                <c:pt idx="32">
                  <c:v>0.418</c:v>
                </c:pt>
                <c:pt idx="33">
                  <c:v>0.429</c:v>
                </c:pt>
                <c:pt idx="34">
                  <c:v>0.44</c:v>
                </c:pt>
                <c:pt idx="35">
                  <c:v>0.452</c:v>
                </c:pt>
                <c:pt idx="36">
                  <c:v>0.463</c:v>
                </c:pt>
                <c:pt idx="37">
                  <c:v>0.466</c:v>
                </c:pt>
                <c:pt idx="38">
                  <c:v>0.469</c:v>
                </c:pt>
                <c:pt idx="39">
                  <c:v>0.472</c:v>
                </c:pt>
                <c:pt idx="40">
                  <c:v>0.476</c:v>
                </c:pt>
                <c:pt idx="41">
                  <c:v>0.479</c:v>
                </c:pt>
                <c:pt idx="42">
                  <c:v>0.482</c:v>
                </c:pt>
                <c:pt idx="43">
                  <c:v>0.485</c:v>
                </c:pt>
                <c:pt idx="44">
                  <c:v>0.488</c:v>
                </c:pt>
                <c:pt idx="45">
                  <c:v>0.492</c:v>
                </c:pt>
                <c:pt idx="46">
                  <c:v>0.495</c:v>
                </c:pt>
                <c:pt idx="47">
                  <c:v>0.498</c:v>
                </c:pt>
                <c:pt idx="48">
                  <c:v>0.501</c:v>
                </c:pt>
                <c:pt idx="49">
                  <c:v>0.504</c:v>
                </c:pt>
                <c:pt idx="50">
                  <c:v>0.508</c:v>
                </c:pt>
                <c:pt idx="51">
                  <c:v>0.511</c:v>
                </c:pt>
                <c:pt idx="52">
                  <c:v>0.514</c:v>
                </c:pt>
                <c:pt idx="53">
                  <c:v>0.517</c:v>
                </c:pt>
                <c:pt idx="54">
                  <c:v>0.52</c:v>
                </c:pt>
                <c:pt idx="55">
                  <c:v>0.523</c:v>
                </c:pt>
                <c:pt idx="56">
                  <c:v>0.527</c:v>
                </c:pt>
                <c:pt idx="57">
                  <c:v>0.53</c:v>
                </c:pt>
                <c:pt idx="58">
                  <c:v>0.533</c:v>
                </c:pt>
                <c:pt idx="59">
                  <c:v>0.536</c:v>
                </c:pt>
                <c:pt idx="60">
                  <c:v>0.539</c:v>
                </c:pt>
                <c:pt idx="61">
                  <c:v>0.543</c:v>
                </c:pt>
                <c:pt idx="62">
                  <c:v>0.546</c:v>
                </c:pt>
                <c:pt idx="63">
                  <c:v>0.549</c:v>
                </c:pt>
                <c:pt idx="64">
                  <c:v>0.552</c:v>
                </c:pt>
                <c:pt idx="65">
                  <c:v>0.555</c:v>
                </c:pt>
                <c:pt idx="66">
                  <c:v>0.559</c:v>
                </c:pt>
                <c:pt idx="67">
                  <c:v>0.562</c:v>
                </c:pt>
                <c:pt idx="68">
                  <c:v>0.565</c:v>
                </c:pt>
                <c:pt idx="69">
                  <c:v>0.568</c:v>
                </c:pt>
                <c:pt idx="70">
                  <c:v>0.571</c:v>
                </c:pt>
                <c:pt idx="71">
                  <c:v>0.575</c:v>
                </c:pt>
                <c:pt idx="72">
                  <c:v>0.578</c:v>
                </c:pt>
                <c:pt idx="73">
                  <c:v>0.581</c:v>
                </c:pt>
                <c:pt idx="74">
                  <c:v>0.584</c:v>
                </c:pt>
                <c:pt idx="75">
                  <c:v>0.587</c:v>
                </c:pt>
                <c:pt idx="76">
                  <c:v>0.59</c:v>
                </c:pt>
                <c:pt idx="77">
                  <c:v>0.594</c:v>
                </c:pt>
                <c:pt idx="78">
                  <c:v>0.597</c:v>
                </c:pt>
                <c:pt idx="79">
                  <c:v>0.6</c:v>
                </c:pt>
                <c:pt idx="80">
                  <c:v>0.603</c:v>
                </c:pt>
                <c:pt idx="81">
                  <c:v>0.606</c:v>
                </c:pt>
                <c:pt idx="82">
                  <c:v>0.61</c:v>
                </c:pt>
                <c:pt idx="83">
                  <c:v>0.613</c:v>
                </c:pt>
                <c:pt idx="84">
                  <c:v>0.616</c:v>
                </c:pt>
                <c:pt idx="85">
                  <c:v>0.619</c:v>
                </c:pt>
                <c:pt idx="86">
                  <c:v>0.622</c:v>
                </c:pt>
                <c:pt idx="87">
                  <c:v>0.626</c:v>
                </c:pt>
                <c:pt idx="88">
                  <c:v>0.629</c:v>
                </c:pt>
                <c:pt idx="89">
                  <c:v>0.632</c:v>
                </c:pt>
                <c:pt idx="90">
                  <c:v>0.635</c:v>
                </c:pt>
                <c:pt idx="91">
                  <c:v>0.638</c:v>
                </c:pt>
                <c:pt idx="92">
                  <c:v>0.642</c:v>
                </c:pt>
                <c:pt idx="93">
                  <c:v>0.645</c:v>
                </c:pt>
                <c:pt idx="94">
                  <c:v>0.648</c:v>
                </c:pt>
                <c:pt idx="95">
                  <c:v>0.651</c:v>
                </c:pt>
                <c:pt idx="96">
                  <c:v>0.654</c:v>
                </c:pt>
                <c:pt idx="97">
                  <c:v>0.658</c:v>
                </c:pt>
                <c:pt idx="98">
                  <c:v>0.661</c:v>
                </c:pt>
                <c:pt idx="99">
                  <c:v>0.664</c:v>
                </c:pt>
                <c:pt idx="100">
                  <c:v>0.667</c:v>
                </c:pt>
                <c:pt idx="101">
                  <c:v>0.67</c:v>
                </c:pt>
                <c:pt idx="102">
                  <c:v>0.673</c:v>
                </c:pt>
                <c:pt idx="103">
                  <c:v>0.677</c:v>
                </c:pt>
                <c:pt idx="104">
                  <c:v>0.68</c:v>
                </c:pt>
                <c:pt idx="105">
                  <c:v>0.683</c:v>
                </c:pt>
                <c:pt idx="106">
                  <c:v>0.686</c:v>
                </c:pt>
                <c:pt idx="107">
                  <c:v>0.689</c:v>
                </c:pt>
                <c:pt idx="108">
                  <c:v>0.693</c:v>
                </c:pt>
                <c:pt idx="109">
                  <c:v>0.696</c:v>
                </c:pt>
                <c:pt idx="110">
                  <c:v>0.699</c:v>
                </c:pt>
                <c:pt idx="111">
                  <c:v>0.702</c:v>
                </c:pt>
                <c:pt idx="112">
                  <c:v>0.705</c:v>
                </c:pt>
                <c:pt idx="113">
                  <c:v>0.709</c:v>
                </c:pt>
                <c:pt idx="114">
                  <c:v>0.712</c:v>
                </c:pt>
                <c:pt idx="115">
                  <c:v>0.715</c:v>
                </c:pt>
                <c:pt idx="116">
                  <c:v>0.718</c:v>
                </c:pt>
                <c:pt idx="117">
                  <c:v>0.721</c:v>
                </c:pt>
                <c:pt idx="118">
                  <c:v>0.725</c:v>
                </c:pt>
                <c:pt idx="119">
                  <c:v>0.728</c:v>
                </c:pt>
                <c:pt idx="120">
                  <c:v>0.731</c:v>
                </c:pt>
                <c:pt idx="121">
                  <c:v>0.734</c:v>
                </c:pt>
                <c:pt idx="122">
                  <c:v>0.737</c:v>
                </c:pt>
                <c:pt idx="123">
                  <c:v>0.74</c:v>
                </c:pt>
                <c:pt idx="124">
                  <c:v>0.744</c:v>
                </c:pt>
                <c:pt idx="125">
                  <c:v>0.747</c:v>
                </c:pt>
                <c:pt idx="126">
                  <c:v>0.75</c:v>
                </c:pt>
                <c:pt idx="127">
                  <c:v>0.753</c:v>
                </c:pt>
                <c:pt idx="128">
                  <c:v>0.756</c:v>
                </c:pt>
                <c:pt idx="129">
                  <c:v>0.76</c:v>
                </c:pt>
                <c:pt idx="130">
                  <c:v>0.763</c:v>
                </c:pt>
                <c:pt idx="131">
                  <c:v>0.766</c:v>
                </c:pt>
                <c:pt idx="132">
                  <c:v>0.769</c:v>
                </c:pt>
                <c:pt idx="133">
                  <c:v>0.772</c:v>
                </c:pt>
                <c:pt idx="134">
                  <c:v>0.776</c:v>
                </c:pt>
                <c:pt idx="135">
                  <c:v>0.779</c:v>
                </c:pt>
                <c:pt idx="136">
                  <c:v>0.782</c:v>
                </c:pt>
                <c:pt idx="137">
                  <c:v>0.785</c:v>
                </c:pt>
                <c:pt idx="138">
                  <c:v>0.788</c:v>
                </c:pt>
                <c:pt idx="139">
                  <c:v>0.792</c:v>
                </c:pt>
                <c:pt idx="140">
                  <c:v>0.795</c:v>
                </c:pt>
                <c:pt idx="141">
                  <c:v>0.798</c:v>
                </c:pt>
                <c:pt idx="142">
                  <c:v>0.801</c:v>
                </c:pt>
                <c:pt idx="143">
                  <c:v>0.804</c:v>
                </c:pt>
                <c:pt idx="144">
                  <c:v>0.808</c:v>
                </c:pt>
                <c:pt idx="145">
                  <c:v>0.811</c:v>
                </c:pt>
                <c:pt idx="146">
                  <c:v>0.814</c:v>
                </c:pt>
                <c:pt idx="147">
                  <c:v>0.817</c:v>
                </c:pt>
                <c:pt idx="148">
                  <c:v>0.82</c:v>
                </c:pt>
                <c:pt idx="149">
                  <c:v>0.823</c:v>
                </c:pt>
                <c:pt idx="150">
                  <c:v>0.827</c:v>
                </c:pt>
                <c:pt idx="151">
                  <c:v>0.83</c:v>
                </c:pt>
                <c:pt idx="152">
                  <c:v>0.833</c:v>
                </c:pt>
                <c:pt idx="153">
                  <c:v>0.836</c:v>
                </c:pt>
                <c:pt idx="154">
                  <c:v>0.839</c:v>
                </c:pt>
                <c:pt idx="155">
                  <c:v>0.843</c:v>
                </c:pt>
                <c:pt idx="156">
                  <c:v>0.846</c:v>
                </c:pt>
                <c:pt idx="157">
                  <c:v>0.849</c:v>
                </c:pt>
                <c:pt idx="158">
                  <c:v>0.852</c:v>
                </c:pt>
                <c:pt idx="159">
                  <c:v>0.855</c:v>
                </c:pt>
                <c:pt idx="160">
                  <c:v>0.859</c:v>
                </c:pt>
                <c:pt idx="161">
                  <c:v>0.862</c:v>
                </c:pt>
                <c:pt idx="162">
                  <c:v>0.865</c:v>
                </c:pt>
                <c:pt idx="163">
                  <c:v>0.868</c:v>
                </c:pt>
                <c:pt idx="164">
                  <c:v>0.871</c:v>
                </c:pt>
                <c:pt idx="165">
                  <c:v>0.875</c:v>
                </c:pt>
                <c:pt idx="166">
                  <c:v>0.878</c:v>
                </c:pt>
                <c:pt idx="167">
                  <c:v>0.881</c:v>
                </c:pt>
                <c:pt idx="168">
                  <c:v>0.884</c:v>
                </c:pt>
                <c:pt idx="169">
                  <c:v>0.887</c:v>
                </c:pt>
                <c:pt idx="170">
                  <c:v>0.89</c:v>
                </c:pt>
                <c:pt idx="171">
                  <c:v>0.894</c:v>
                </c:pt>
                <c:pt idx="172">
                  <c:v>0.897</c:v>
                </c:pt>
                <c:pt idx="173">
                  <c:v>0.9</c:v>
                </c:pt>
                <c:pt idx="174">
                  <c:v>0.903</c:v>
                </c:pt>
                <c:pt idx="175">
                  <c:v>0.906</c:v>
                </c:pt>
                <c:pt idx="176">
                  <c:v>0.91</c:v>
                </c:pt>
                <c:pt idx="177">
                  <c:v>0.913</c:v>
                </c:pt>
                <c:pt idx="178">
                  <c:v>0.916</c:v>
                </c:pt>
                <c:pt idx="179">
                  <c:v>0.919</c:v>
                </c:pt>
                <c:pt idx="180">
                  <c:v>0.922</c:v>
                </c:pt>
                <c:pt idx="181">
                  <c:v>0.926</c:v>
                </c:pt>
                <c:pt idx="182">
                  <c:v>0.929</c:v>
                </c:pt>
                <c:pt idx="183">
                  <c:v>0.932</c:v>
                </c:pt>
                <c:pt idx="184">
                  <c:v>0.935</c:v>
                </c:pt>
                <c:pt idx="185">
                  <c:v>0.931</c:v>
                </c:pt>
                <c:pt idx="186">
                  <c:v>0.928</c:v>
                </c:pt>
                <c:pt idx="187">
                  <c:v>0.924</c:v>
                </c:pt>
                <c:pt idx="188">
                  <c:v>0.92</c:v>
                </c:pt>
                <c:pt idx="189">
                  <c:v>0.917</c:v>
                </c:pt>
                <c:pt idx="190">
                  <c:v>0.913</c:v>
                </c:pt>
                <c:pt idx="191">
                  <c:v>0.909</c:v>
                </c:pt>
                <c:pt idx="192">
                  <c:v>0.906</c:v>
                </c:pt>
                <c:pt idx="193">
                  <c:v>0.902</c:v>
                </c:pt>
                <c:pt idx="194">
                  <c:v>0.898</c:v>
                </c:pt>
                <c:pt idx="195">
                  <c:v>0.894</c:v>
                </c:pt>
                <c:pt idx="196">
                  <c:v>0.891</c:v>
                </c:pt>
                <c:pt idx="197">
                  <c:v>0.887</c:v>
                </c:pt>
                <c:pt idx="198">
                  <c:v>0.883</c:v>
                </c:pt>
                <c:pt idx="199">
                  <c:v>0.88</c:v>
                </c:pt>
                <c:pt idx="200">
                  <c:v>0.876</c:v>
                </c:pt>
                <c:pt idx="201">
                  <c:v>0.872</c:v>
                </c:pt>
                <c:pt idx="202">
                  <c:v>0.869</c:v>
                </c:pt>
                <c:pt idx="203">
                  <c:v>0.865</c:v>
                </c:pt>
                <c:pt idx="204">
                  <c:v>0.861</c:v>
                </c:pt>
                <c:pt idx="205">
                  <c:v>0.858</c:v>
                </c:pt>
                <c:pt idx="206">
                  <c:v>0.854</c:v>
                </c:pt>
                <c:pt idx="207">
                  <c:v>0.85</c:v>
                </c:pt>
                <c:pt idx="208">
                  <c:v>0.846</c:v>
                </c:pt>
                <c:pt idx="209">
                  <c:v>0.843</c:v>
                </c:pt>
                <c:pt idx="210">
                  <c:v>0.839</c:v>
                </c:pt>
                <c:pt idx="211">
                  <c:v>0.835</c:v>
                </c:pt>
                <c:pt idx="212">
                  <c:v>0.832</c:v>
                </c:pt>
                <c:pt idx="213">
                  <c:v>0.828</c:v>
                </c:pt>
                <c:pt idx="214">
                  <c:v>0.824</c:v>
                </c:pt>
                <c:pt idx="215">
                  <c:v>0.821</c:v>
                </c:pt>
                <c:pt idx="216">
                  <c:v>0.817</c:v>
                </c:pt>
                <c:pt idx="217">
                  <c:v>0.813</c:v>
                </c:pt>
                <c:pt idx="218">
                  <c:v>0.809</c:v>
                </c:pt>
                <c:pt idx="219">
                  <c:v>0.806</c:v>
                </c:pt>
                <c:pt idx="220">
                  <c:v>0.802</c:v>
                </c:pt>
                <c:pt idx="221">
                  <c:v>0.798</c:v>
                </c:pt>
                <c:pt idx="222">
                  <c:v>0.795</c:v>
                </c:pt>
                <c:pt idx="223">
                  <c:v>0.791</c:v>
                </c:pt>
                <c:pt idx="224">
                  <c:v>0.787</c:v>
                </c:pt>
                <c:pt idx="225">
                  <c:v>0.772</c:v>
                </c:pt>
                <c:pt idx="226">
                  <c:v>0.756</c:v>
                </c:pt>
                <c:pt idx="227">
                  <c:v>0.74</c:v>
                </c:pt>
                <c:pt idx="228">
                  <c:v>0.725</c:v>
                </c:pt>
                <c:pt idx="229">
                  <c:v>0.709</c:v>
                </c:pt>
                <c:pt idx="230">
                  <c:v>0.694</c:v>
                </c:pt>
                <c:pt idx="231">
                  <c:v>0.678</c:v>
                </c:pt>
                <c:pt idx="232">
                  <c:v>0.662</c:v>
                </c:pt>
                <c:pt idx="233">
                  <c:v>0.647</c:v>
                </c:pt>
                <c:pt idx="234">
                  <c:v>0.631</c:v>
                </c:pt>
                <c:pt idx="235">
                  <c:v>0.616</c:v>
                </c:pt>
                <c:pt idx="236">
                  <c:v>0.6</c:v>
                </c:pt>
                <c:pt idx="237">
                  <c:v>0.584</c:v>
                </c:pt>
                <c:pt idx="238">
                  <c:v>0.569</c:v>
                </c:pt>
                <c:pt idx="239">
                  <c:v>0.553</c:v>
                </c:pt>
                <c:pt idx="240">
                  <c:v>0.537</c:v>
                </c:pt>
                <c:pt idx="241">
                  <c:v>0.522</c:v>
                </c:pt>
                <c:pt idx="242">
                  <c:v>0.506</c:v>
                </c:pt>
                <c:pt idx="243">
                  <c:v>0.491</c:v>
                </c:pt>
                <c:pt idx="244">
                  <c:v>0.475</c:v>
                </c:pt>
                <c:pt idx="245">
                  <c:v>0.459</c:v>
                </c:pt>
                <c:pt idx="246">
                  <c:v>0.444</c:v>
                </c:pt>
                <c:pt idx="247">
                  <c:v>0.428</c:v>
                </c:pt>
                <c:pt idx="248">
                  <c:v>0.413</c:v>
                </c:pt>
                <c:pt idx="249">
                  <c:v>0.397</c:v>
                </c:pt>
                <c:pt idx="250">
                  <c:v>0.381</c:v>
                </c:pt>
                <c:pt idx="251">
                  <c:v>0.366</c:v>
                </c:pt>
                <c:pt idx="252">
                  <c:v>0.35</c:v>
                </c:pt>
                <c:pt idx="253">
                  <c:v>0.334</c:v>
                </c:pt>
                <c:pt idx="254">
                  <c:v>0.319</c:v>
                </c:pt>
                <c:pt idx="255">
                  <c:v>0.303</c:v>
                </c:pt>
                <c:pt idx="256">
                  <c:v>0.308</c:v>
                </c:pt>
                <c:pt idx="257">
                  <c:v>0.312</c:v>
                </c:pt>
                <c:pt idx="258">
                  <c:v>0.317</c:v>
                </c:pt>
                <c:pt idx="259">
                  <c:v>0.321</c:v>
                </c:pt>
                <c:pt idx="260">
                  <c:v>0.326</c:v>
                </c:pt>
                <c:pt idx="261">
                  <c:v>0.33</c:v>
                </c:pt>
                <c:pt idx="262">
                  <c:v>0.294</c:v>
                </c:pt>
                <c:pt idx="263">
                  <c:v>0.294</c:v>
                </c:pt>
                <c:pt idx="264">
                  <c:v>0.294</c:v>
                </c:pt>
                <c:pt idx="265">
                  <c:v>0.293</c:v>
                </c:pt>
                <c:pt idx="266">
                  <c:v>0.293</c:v>
                </c:pt>
                <c:pt idx="267">
                  <c:v>0.292</c:v>
                </c:pt>
                <c:pt idx="268">
                  <c:v>0.292</c:v>
                </c:pt>
                <c:pt idx="269">
                  <c:v>0.292</c:v>
                </c:pt>
                <c:pt idx="270">
                  <c:v>0.291</c:v>
                </c:pt>
              </c:numCache>
            </c:numRef>
          </c:val>
          <c:smooth val="1"/>
        </c:ser>
        <c:ser>
          <c:idx val="5"/>
          <c:order val="5"/>
          <c:tx>
            <c:strRef>
              <c:f>'SAMIR_ex_blé TLS'!$G$14</c:f>
              <c:strCache>
                <c:ptCount val="1"/>
                <c:pt idx="0">
                  <c:v>fc</c:v>
                </c:pt>
              </c:strCache>
            </c:strRef>
          </c:tx>
          <c:spPr>
            <a:ln w="28440" cap="rnd" cmpd="sng" algn="ctr">
              <a:solidFill>
                <a:srgbClr val="6F568D"/>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TLS'!$G$15:$G$502</c:f>
              <c:numCache>
                <c:formatCode>0.000</c:formatCode>
                <c:ptCount val="488"/>
                <c:pt idx="0">
                  <c:v>0.126666666666667</c:v>
                </c:pt>
                <c:pt idx="1" c:formatCode="General">
                  <c:v>0.126666666666667</c:v>
                </c:pt>
                <c:pt idx="2" c:formatCode="General">
                  <c:v>0.126666666666667</c:v>
                </c:pt>
                <c:pt idx="3" c:formatCode="General">
                  <c:v>0.126666666666667</c:v>
                </c:pt>
                <c:pt idx="4" c:formatCode="General">
                  <c:v>0.125333333333333</c:v>
                </c:pt>
                <c:pt idx="5" c:formatCode="General">
                  <c:v>0.125333333333333</c:v>
                </c:pt>
                <c:pt idx="6" c:formatCode="General">
                  <c:v>0.125333333333333</c:v>
                </c:pt>
                <c:pt idx="7" c:formatCode="General">
                  <c:v>0.125333333333333</c:v>
                </c:pt>
                <c:pt idx="8" c:formatCode="General">
                  <c:v>0.125333333333333</c:v>
                </c:pt>
                <c:pt idx="9" c:formatCode="General">
                  <c:v>0.125333333333333</c:v>
                </c:pt>
                <c:pt idx="10" c:formatCode="General">
                  <c:v>0.124</c:v>
                </c:pt>
                <c:pt idx="11" c:formatCode="General">
                  <c:v>0.124</c:v>
                </c:pt>
                <c:pt idx="12" c:formatCode="General">
                  <c:v>0.124</c:v>
                </c:pt>
                <c:pt idx="13" c:formatCode="General">
                  <c:v>0.146666666666667</c:v>
                </c:pt>
                <c:pt idx="14" c:formatCode="General">
                  <c:v>0.168</c:v>
                </c:pt>
                <c:pt idx="15" c:formatCode="General">
                  <c:v>0.189333333333333</c:v>
                </c:pt>
                <c:pt idx="16" c:formatCode="General">
                  <c:v>0.188</c:v>
                </c:pt>
                <c:pt idx="17" c:formatCode="General">
                  <c:v>0.186666666666667</c:v>
                </c:pt>
                <c:pt idx="18" c:formatCode="General">
                  <c:v>0.184</c:v>
                </c:pt>
                <c:pt idx="19" c:formatCode="General">
                  <c:v>0.194666666666667</c:v>
                </c:pt>
                <c:pt idx="20" c:formatCode="General">
                  <c:v>0.205333333333333</c:v>
                </c:pt>
                <c:pt idx="21" c:formatCode="General">
                  <c:v>0.217333333333333</c:v>
                </c:pt>
                <c:pt idx="22" c:formatCode="General">
                  <c:v>0.228</c:v>
                </c:pt>
                <c:pt idx="23" c:formatCode="General">
                  <c:v>0.238666666666667</c:v>
                </c:pt>
                <c:pt idx="24" c:formatCode="General">
                  <c:v>0.249333333333333</c:v>
                </c:pt>
                <c:pt idx="25" c:formatCode="General">
                  <c:v>0.26</c:v>
                </c:pt>
                <c:pt idx="26" c:formatCode="General">
                  <c:v>0.270666666666667</c:v>
                </c:pt>
                <c:pt idx="27" c:formatCode="General">
                  <c:v>0.281333333333333</c:v>
                </c:pt>
                <c:pt idx="28" c:formatCode="General">
                  <c:v>0.297333333333333</c:v>
                </c:pt>
                <c:pt idx="29" c:formatCode="General">
                  <c:v>0.312</c:v>
                </c:pt>
                <c:pt idx="30" c:formatCode="General">
                  <c:v>0.326666666666667</c:v>
                </c:pt>
                <c:pt idx="31" c:formatCode="General">
                  <c:v>0.341333333333333</c:v>
                </c:pt>
                <c:pt idx="32" c:formatCode="General">
                  <c:v>0.357333333333333</c:v>
                </c:pt>
                <c:pt idx="33" c:formatCode="General">
                  <c:v>0.372</c:v>
                </c:pt>
                <c:pt idx="34" c:formatCode="General">
                  <c:v>0.386666666666667</c:v>
                </c:pt>
                <c:pt idx="35" c:formatCode="General">
                  <c:v>0.402666666666667</c:v>
                </c:pt>
                <c:pt idx="36" c:formatCode="General">
                  <c:v>0.417333333333333</c:v>
                </c:pt>
                <c:pt idx="37" c:formatCode="General">
                  <c:v>0.421333333333333</c:v>
                </c:pt>
                <c:pt idx="38" c:formatCode="General">
                  <c:v>0.425333333333333</c:v>
                </c:pt>
                <c:pt idx="39" c:formatCode="General">
                  <c:v>0.429333333333333</c:v>
                </c:pt>
                <c:pt idx="40" c:formatCode="General">
                  <c:v>0.434666666666667</c:v>
                </c:pt>
                <c:pt idx="41" c:formatCode="General">
                  <c:v>0.438666666666667</c:v>
                </c:pt>
                <c:pt idx="42" c:formatCode="General">
                  <c:v>0.442666666666667</c:v>
                </c:pt>
                <c:pt idx="43" c:formatCode="General">
                  <c:v>0.446666666666667</c:v>
                </c:pt>
                <c:pt idx="44" c:formatCode="General">
                  <c:v>0.450666666666667</c:v>
                </c:pt>
                <c:pt idx="45" c:formatCode="General">
                  <c:v>0.456</c:v>
                </c:pt>
                <c:pt idx="46" c:formatCode="General">
                  <c:v>0.46</c:v>
                </c:pt>
                <c:pt idx="47" c:formatCode="General">
                  <c:v>0.464</c:v>
                </c:pt>
                <c:pt idx="48" c:formatCode="General">
                  <c:v>0.468</c:v>
                </c:pt>
                <c:pt idx="49" c:formatCode="General">
                  <c:v>0.472</c:v>
                </c:pt>
                <c:pt idx="50" c:formatCode="General">
                  <c:v>0.477333333333333</c:v>
                </c:pt>
                <c:pt idx="51" c:formatCode="General">
                  <c:v>0.481333333333333</c:v>
                </c:pt>
                <c:pt idx="52" c:formatCode="General">
                  <c:v>0.485333333333333</c:v>
                </c:pt>
                <c:pt idx="53" c:formatCode="General">
                  <c:v>0.489333333333333</c:v>
                </c:pt>
                <c:pt idx="54" c:formatCode="General">
                  <c:v>0.493333333333333</c:v>
                </c:pt>
                <c:pt idx="55" c:formatCode="General">
                  <c:v>0.497333333333333</c:v>
                </c:pt>
                <c:pt idx="56" c:formatCode="General">
                  <c:v>0.502666666666667</c:v>
                </c:pt>
                <c:pt idx="57" c:formatCode="General">
                  <c:v>0.506666666666667</c:v>
                </c:pt>
                <c:pt idx="58" c:formatCode="General">
                  <c:v>0.510666666666667</c:v>
                </c:pt>
                <c:pt idx="59" c:formatCode="General">
                  <c:v>0.514666666666667</c:v>
                </c:pt>
                <c:pt idx="60" c:formatCode="General">
                  <c:v>0.518666666666667</c:v>
                </c:pt>
                <c:pt idx="61" c:formatCode="General">
                  <c:v>0.524</c:v>
                </c:pt>
                <c:pt idx="62" c:formatCode="General">
                  <c:v>0.528</c:v>
                </c:pt>
                <c:pt idx="63" c:formatCode="General">
                  <c:v>0.532</c:v>
                </c:pt>
                <c:pt idx="64" c:formatCode="General">
                  <c:v>0.536</c:v>
                </c:pt>
                <c:pt idx="65" c:formatCode="General">
                  <c:v>0.54</c:v>
                </c:pt>
                <c:pt idx="66" c:formatCode="General">
                  <c:v>0.545333333333333</c:v>
                </c:pt>
                <c:pt idx="67" c:formatCode="General">
                  <c:v>0.549333333333333</c:v>
                </c:pt>
                <c:pt idx="68" c:formatCode="General">
                  <c:v>0.553333333333333</c:v>
                </c:pt>
                <c:pt idx="69" c:formatCode="General">
                  <c:v>0.557333333333333</c:v>
                </c:pt>
                <c:pt idx="70" c:formatCode="General">
                  <c:v>0.561333333333333</c:v>
                </c:pt>
                <c:pt idx="71" c:formatCode="General">
                  <c:v>0.566666666666667</c:v>
                </c:pt>
                <c:pt idx="72" c:formatCode="General">
                  <c:v>0.570666666666667</c:v>
                </c:pt>
                <c:pt idx="73" c:formatCode="General">
                  <c:v>0.574666666666667</c:v>
                </c:pt>
                <c:pt idx="74" c:formatCode="General">
                  <c:v>0.578666666666667</c:v>
                </c:pt>
                <c:pt idx="75" c:formatCode="General">
                  <c:v>0.582666666666667</c:v>
                </c:pt>
                <c:pt idx="76" c:formatCode="General">
                  <c:v>0.586666666666667</c:v>
                </c:pt>
                <c:pt idx="77" c:formatCode="General">
                  <c:v>0.592</c:v>
                </c:pt>
                <c:pt idx="78" c:formatCode="General">
                  <c:v>0.596</c:v>
                </c:pt>
                <c:pt idx="79" c:formatCode="General">
                  <c:v>0.6</c:v>
                </c:pt>
                <c:pt idx="80" c:formatCode="General">
                  <c:v>0.604</c:v>
                </c:pt>
                <c:pt idx="81" c:formatCode="General">
                  <c:v>0.608</c:v>
                </c:pt>
                <c:pt idx="82" c:formatCode="General">
                  <c:v>0.613333333333333</c:v>
                </c:pt>
                <c:pt idx="83" c:formatCode="General">
                  <c:v>0.617333333333333</c:v>
                </c:pt>
                <c:pt idx="84" c:formatCode="General">
                  <c:v>0.621333333333333</c:v>
                </c:pt>
                <c:pt idx="85" c:formatCode="General">
                  <c:v>0.625333333333333</c:v>
                </c:pt>
                <c:pt idx="86" c:formatCode="General">
                  <c:v>0.629333333333333</c:v>
                </c:pt>
                <c:pt idx="87" c:formatCode="General">
                  <c:v>0.634666666666667</c:v>
                </c:pt>
                <c:pt idx="88" c:formatCode="General">
                  <c:v>0.638666666666667</c:v>
                </c:pt>
                <c:pt idx="89" c:formatCode="General">
                  <c:v>0.642666666666667</c:v>
                </c:pt>
                <c:pt idx="90" c:formatCode="General">
                  <c:v>0.646666666666667</c:v>
                </c:pt>
                <c:pt idx="91" c:formatCode="General">
                  <c:v>0.650666666666667</c:v>
                </c:pt>
                <c:pt idx="92" c:formatCode="General">
                  <c:v>0.656</c:v>
                </c:pt>
                <c:pt idx="93" c:formatCode="General">
                  <c:v>0.66</c:v>
                </c:pt>
                <c:pt idx="94" c:formatCode="General">
                  <c:v>0.664</c:v>
                </c:pt>
                <c:pt idx="95" c:formatCode="General">
                  <c:v>0.668</c:v>
                </c:pt>
                <c:pt idx="96" c:formatCode="General">
                  <c:v>0.672</c:v>
                </c:pt>
                <c:pt idx="97" c:formatCode="General">
                  <c:v>0.677333333333333</c:v>
                </c:pt>
                <c:pt idx="98" c:formatCode="General">
                  <c:v>0.681333333333333</c:v>
                </c:pt>
                <c:pt idx="99" c:formatCode="General">
                  <c:v>0.685333333333333</c:v>
                </c:pt>
                <c:pt idx="100" c:formatCode="General">
                  <c:v>0.689333333333333</c:v>
                </c:pt>
                <c:pt idx="101" c:formatCode="General">
                  <c:v>0.693333333333333</c:v>
                </c:pt>
                <c:pt idx="102" c:formatCode="General">
                  <c:v>0.697333333333333</c:v>
                </c:pt>
                <c:pt idx="103" c:formatCode="General">
                  <c:v>0.702666666666667</c:v>
                </c:pt>
                <c:pt idx="104" c:formatCode="General">
                  <c:v>0.706666666666667</c:v>
                </c:pt>
                <c:pt idx="105" c:formatCode="General">
                  <c:v>0.710666666666667</c:v>
                </c:pt>
                <c:pt idx="106" c:formatCode="General">
                  <c:v>0.714666666666667</c:v>
                </c:pt>
                <c:pt idx="107" c:formatCode="General">
                  <c:v>0.718666666666667</c:v>
                </c:pt>
                <c:pt idx="108" c:formatCode="General">
                  <c:v>0.724</c:v>
                </c:pt>
                <c:pt idx="109" c:formatCode="General">
                  <c:v>0.728</c:v>
                </c:pt>
                <c:pt idx="110" c:formatCode="General">
                  <c:v>0.732</c:v>
                </c:pt>
                <c:pt idx="111" c:formatCode="General">
                  <c:v>0.736</c:v>
                </c:pt>
                <c:pt idx="112" c:formatCode="General">
                  <c:v>0.74</c:v>
                </c:pt>
                <c:pt idx="113" c:formatCode="General">
                  <c:v>0.745333333333333</c:v>
                </c:pt>
                <c:pt idx="114" c:formatCode="General">
                  <c:v>0.749333333333333</c:v>
                </c:pt>
                <c:pt idx="115" c:formatCode="General">
                  <c:v>0.753333333333333</c:v>
                </c:pt>
                <c:pt idx="116" c:formatCode="General">
                  <c:v>0.757333333333333</c:v>
                </c:pt>
                <c:pt idx="117" c:formatCode="General">
                  <c:v>0.761333333333333</c:v>
                </c:pt>
                <c:pt idx="118" c:formatCode="General">
                  <c:v>0.766666666666667</c:v>
                </c:pt>
                <c:pt idx="119" c:formatCode="General">
                  <c:v>0.770666666666667</c:v>
                </c:pt>
                <c:pt idx="120" c:formatCode="General">
                  <c:v>0.774666666666667</c:v>
                </c:pt>
                <c:pt idx="121" c:formatCode="General">
                  <c:v>0.778666666666667</c:v>
                </c:pt>
                <c:pt idx="122" c:formatCode="General">
                  <c:v>0.782666666666667</c:v>
                </c:pt>
                <c:pt idx="123" c:formatCode="General">
                  <c:v>0.786666666666667</c:v>
                </c:pt>
                <c:pt idx="124" c:formatCode="General">
                  <c:v>0.792</c:v>
                </c:pt>
                <c:pt idx="125" c:formatCode="General">
                  <c:v>0.796</c:v>
                </c:pt>
                <c:pt idx="126" c:formatCode="General">
                  <c:v>0.8</c:v>
                </c:pt>
                <c:pt idx="127" c:formatCode="General">
                  <c:v>0.804</c:v>
                </c:pt>
                <c:pt idx="128" c:formatCode="General">
                  <c:v>0.808</c:v>
                </c:pt>
                <c:pt idx="129" c:formatCode="General">
                  <c:v>0.813333333333333</c:v>
                </c:pt>
                <c:pt idx="130" c:formatCode="General">
                  <c:v>0.817333333333333</c:v>
                </c:pt>
                <c:pt idx="131" c:formatCode="General">
                  <c:v>0.821333333333333</c:v>
                </c:pt>
                <c:pt idx="132" c:formatCode="General">
                  <c:v>0.825333333333333</c:v>
                </c:pt>
                <c:pt idx="133" c:formatCode="General">
                  <c:v>0.829333333333333</c:v>
                </c:pt>
                <c:pt idx="134" c:formatCode="General">
                  <c:v>0.834666666666667</c:v>
                </c:pt>
                <c:pt idx="135" c:formatCode="General">
                  <c:v>0.838666666666667</c:v>
                </c:pt>
                <c:pt idx="136" c:formatCode="General">
                  <c:v>0.842666666666667</c:v>
                </c:pt>
                <c:pt idx="137" c:formatCode="General">
                  <c:v>0.846666666666667</c:v>
                </c:pt>
                <c:pt idx="138" c:formatCode="General">
                  <c:v>0.850666666666667</c:v>
                </c:pt>
                <c:pt idx="139" c:formatCode="General">
                  <c:v>0.856</c:v>
                </c:pt>
                <c:pt idx="140" c:formatCode="General">
                  <c:v>0.86</c:v>
                </c:pt>
                <c:pt idx="141" c:formatCode="General">
                  <c:v>0.864</c:v>
                </c:pt>
                <c:pt idx="142" c:formatCode="General">
                  <c:v>0.868</c:v>
                </c:pt>
                <c:pt idx="143" c:formatCode="General">
                  <c:v>0.872</c:v>
                </c:pt>
                <c:pt idx="144" c:formatCode="General">
                  <c:v>0.877333333333333</c:v>
                </c:pt>
                <c:pt idx="145" c:formatCode="General">
                  <c:v>0.881333333333333</c:v>
                </c:pt>
                <c:pt idx="146" c:formatCode="General">
                  <c:v>0.885333333333333</c:v>
                </c:pt>
                <c:pt idx="147" c:formatCode="General">
                  <c:v>0.889333333333333</c:v>
                </c:pt>
                <c:pt idx="148" c:formatCode="General">
                  <c:v>0.893333333333333</c:v>
                </c:pt>
                <c:pt idx="149" c:formatCode="General">
                  <c:v>0.897333333333333</c:v>
                </c:pt>
                <c:pt idx="150" c:formatCode="General">
                  <c:v>0.902666666666667</c:v>
                </c:pt>
                <c:pt idx="151" c:formatCode="General">
                  <c:v>0.906666666666667</c:v>
                </c:pt>
                <c:pt idx="152" c:formatCode="General">
                  <c:v>0.910666666666667</c:v>
                </c:pt>
                <c:pt idx="153" c:formatCode="General">
                  <c:v>0.914666666666667</c:v>
                </c:pt>
                <c:pt idx="154" c:formatCode="General">
                  <c:v>0.918666666666667</c:v>
                </c:pt>
                <c:pt idx="155" c:formatCode="General">
                  <c:v>0.924</c:v>
                </c:pt>
                <c:pt idx="156" c:formatCode="General">
                  <c:v>0.928</c:v>
                </c:pt>
                <c:pt idx="157" c:formatCode="General">
                  <c:v>0.932</c:v>
                </c:pt>
                <c:pt idx="158" c:formatCode="General">
                  <c:v>0.936</c:v>
                </c:pt>
                <c:pt idx="159" c:formatCode="General">
                  <c:v>0.94</c:v>
                </c:pt>
                <c:pt idx="160" c:formatCode="General">
                  <c:v>0.945333333333333</c:v>
                </c:pt>
                <c:pt idx="161" c:formatCode="General">
                  <c:v>0.949333333333333</c:v>
                </c:pt>
                <c:pt idx="162" c:formatCode="General">
                  <c:v>0.953333333333333</c:v>
                </c:pt>
                <c:pt idx="163" c:formatCode="General">
                  <c:v>0.957333333333333</c:v>
                </c:pt>
                <c:pt idx="164" c:formatCode="General">
                  <c:v>0.961333333333333</c:v>
                </c:pt>
                <c:pt idx="165" c:formatCode="General">
                  <c:v>0.966666666666667</c:v>
                </c:pt>
                <c:pt idx="166" c:formatCode="General">
                  <c:v>0.970666666666667</c:v>
                </c:pt>
                <c:pt idx="167" c:formatCode="General">
                  <c:v>0.974666666666667</c:v>
                </c:pt>
                <c:pt idx="168" c:formatCode="General">
                  <c:v>0.978666666666667</c:v>
                </c:pt>
                <c:pt idx="169" c:formatCode="General">
                  <c:v>0.982666666666667</c:v>
                </c:pt>
                <c:pt idx="170" c:formatCode="General">
                  <c:v>0.986666666666667</c:v>
                </c:pt>
                <c:pt idx="171" c:formatCode="General">
                  <c:v>0.992</c:v>
                </c:pt>
                <c:pt idx="172" c:formatCode="General">
                  <c:v>0.996</c:v>
                </c:pt>
                <c:pt idx="173" c:formatCode="General">
                  <c:v>1</c:v>
                </c:pt>
                <c:pt idx="174" c:formatCode="General">
                  <c:v>1</c:v>
                </c:pt>
                <c:pt idx="175" c:formatCode="General">
                  <c:v>1</c:v>
                </c:pt>
                <c:pt idx="176" c:formatCode="General">
                  <c:v>1</c:v>
                </c:pt>
                <c:pt idx="177" c:formatCode="General">
                  <c:v>1</c:v>
                </c:pt>
                <c:pt idx="178" c:formatCode="General">
                  <c:v>1</c:v>
                </c:pt>
                <c:pt idx="179" c:formatCode="General">
                  <c:v>1</c:v>
                </c:pt>
                <c:pt idx="180" c:formatCode="General">
                  <c:v>1</c:v>
                </c:pt>
                <c:pt idx="181" c:formatCode="General">
                  <c:v>1</c:v>
                </c:pt>
                <c:pt idx="182" c:formatCode="General">
                  <c:v>1</c:v>
                </c:pt>
                <c:pt idx="183" c:formatCode="General">
                  <c:v>1</c:v>
                </c:pt>
                <c:pt idx="184" c:formatCode="General">
                  <c:v>1</c:v>
                </c:pt>
                <c:pt idx="185" c:formatCode="General">
                  <c:v>1</c:v>
                </c:pt>
                <c:pt idx="186" c:formatCode="General">
                  <c:v>1</c:v>
                </c:pt>
                <c:pt idx="187" c:formatCode="General">
                  <c:v>1</c:v>
                </c:pt>
                <c:pt idx="188" c:formatCode="General">
                  <c:v>1</c:v>
                </c:pt>
                <c:pt idx="189" c:formatCode="General">
                  <c:v>1</c:v>
                </c:pt>
                <c:pt idx="190" c:formatCode="General">
                  <c:v>1</c:v>
                </c:pt>
                <c:pt idx="191" c:formatCode="General">
                  <c:v>1</c:v>
                </c:pt>
                <c:pt idx="192" c:formatCode="General">
                  <c:v>1</c:v>
                </c:pt>
                <c:pt idx="193" c:formatCode="General">
                  <c:v>1</c:v>
                </c:pt>
                <c:pt idx="194" c:formatCode="General">
                  <c:v>1</c:v>
                </c:pt>
                <c:pt idx="195" c:formatCode="General">
                  <c:v>1</c:v>
                </c:pt>
                <c:pt idx="196" c:formatCode="General">
                  <c:v>1</c:v>
                </c:pt>
                <c:pt idx="197" c:formatCode="General">
                  <c:v>1</c:v>
                </c:pt>
                <c:pt idx="198" c:formatCode="General">
                  <c:v>1</c:v>
                </c:pt>
                <c:pt idx="199" c:formatCode="General">
                  <c:v>1</c:v>
                </c:pt>
                <c:pt idx="200" c:formatCode="General">
                  <c:v>1</c:v>
                </c:pt>
                <c:pt idx="201" c:formatCode="General">
                  <c:v>1</c:v>
                </c:pt>
                <c:pt idx="202" c:formatCode="General">
                  <c:v>1</c:v>
                </c:pt>
                <c:pt idx="203" c:formatCode="General">
                  <c:v>1</c:v>
                </c:pt>
                <c:pt idx="204" c:formatCode="General">
                  <c:v>1</c:v>
                </c:pt>
                <c:pt idx="205" c:formatCode="General">
                  <c:v>1</c:v>
                </c:pt>
                <c:pt idx="206" c:formatCode="General">
                  <c:v>1</c:v>
                </c:pt>
                <c:pt idx="207" c:formatCode="General">
                  <c:v>1</c:v>
                </c:pt>
                <c:pt idx="208" c:formatCode="General">
                  <c:v>1</c:v>
                </c:pt>
                <c:pt idx="209" c:formatCode="General">
                  <c:v>1</c:v>
                </c:pt>
                <c:pt idx="210" c:formatCode="General">
                  <c:v>1</c:v>
                </c:pt>
                <c:pt idx="211" c:formatCode="General">
                  <c:v>1</c:v>
                </c:pt>
                <c:pt idx="212" c:formatCode="General">
                  <c:v>1</c:v>
                </c:pt>
                <c:pt idx="213" c:formatCode="General">
                  <c:v>1</c:v>
                </c:pt>
                <c:pt idx="214" c:formatCode="General">
                  <c:v>1</c:v>
                </c:pt>
                <c:pt idx="215" c:formatCode="General">
                  <c:v>1</c:v>
                </c:pt>
                <c:pt idx="216" c:formatCode="General">
                  <c:v>1</c:v>
                </c:pt>
                <c:pt idx="217" c:formatCode="General">
                  <c:v>1</c:v>
                </c:pt>
                <c:pt idx="218" c:formatCode="General">
                  <c:v>1</c:v>
                </c:pt>
                <c:pt idx="219" c:formatCode="General">
                  <c:v>1</c:v>
                </c:pt>
                <c:pt idx="220" c:formatCode="General">
                  <c:v>1</c:v>
                </c:pt>
                <c:pt idx="221" c:formatCode="General">
                  <c:v>1</c:v>
                </c:pt>
                <c:pt idx="222" c:formatCode="General">
                  <c:v>1</c:v>
                </c:pt>
                <c:pt idx="223" c:formatCode="General">
                  <c:v>1</c:v>
                </c:pt>
                <c:pt idx="224" c:formatCode="General">
                  <c:v>1</c:v>
                </c:pt>
                <c:pt idx="225" c:formatCode="General">
                  <c:v>1</c:v>
                </c:pt>
                <c:pt idx="226" c:formatCode="General">
                  <c:v>1</c:v>
                </c:pt>
                <c:pt idx="227" c:formatCode="General">
                  <c:v>1</c:v>
                </c:pt>
                <c:pt idx="228" c:formatCode="General">
                  <c:v>1</c:v>
                </c:pt>
                <c:pt idx="229" c:formatCode="General">
                  <c:v>1</c:v>
                </c:pt>
                <c:pt idx="230" c:formatCode="General">
                  <c:v>1</c:v>
                </c:pt>
                <c:pt idx="231" c:formatCode="General">
                  <c:v>1</c:v>
                </c:pt>
                <c:pt idx="232" c:formatCode="General">
                  <c:v>1</c:v>
                </c:pt>
                <c:pt idx="233" c:formatCode="General">
                  <c:v>1</c:v>
                </c:pt>
                <c:pt idx="234" c:formatCode="General">
                  <c:v>1</c:v>
                </c:pt>
                <c:pt idx="235" c:formatCode="General">
                  <c:v>1</c:v>
                </c:pt>
                <c:pt idx="236" c:formatCode="General">
                  <c:v>1</c:v>
                </c:pt>
                <c:pt idx="237" c:formatCode="General">
                  <c:v>1</c:v>
                </c:pt>
                <c:pt idx="238" c:formatCode="General">
                  <c:v>1</c:v>
                </c:pt>
                <c:pt idx="239" c:formatCode="General">
                  <c:v>1</c:v>
                </c:pt>
                <c:pt idx="240" c:formatCode="General">
                  <c:v>1</c:v>
                </c:pt>
                <c:pt idx="241" c:formatCode="General">
                  <c:v>1</c:v>
                </c:pt>
                <c:pt idx="242" c:formatCode="General">
                  <c:v>1</c:v>
                </c:pt>
                <c:pt idx="243" c:formatCode="General">
                  <c:v>1</c:v>
                </c:pt>
                <c:pt idx="244" c:formatCode="General">
                  <c:v>1</c:v>
                </c:pt>
                <c:pt idx="245" c:formatCode="General">
                  <c:v>1</c:v>
                </c:pt>
                <c:pt idx="246" c:formatCode="General">
                  <c:v>1</c:v>
                </c:pt>
                <c:pt idx="247" c:formatCode="General">
                  <c:v>1</c:v>
                </c:pt>
                <c:pt idx="248" c:formatCode="General">
                  <c:v>1</c:v>
                </c:pt>
                <c:pt idx="249" c:formatCode="General">
                  <c:v>1</c:v>
                </c:pt>
                <c:pt idx="250" c:formatCode="General">
                  <c:v>1</c:v>
                </c:pt>
                <c:pt idx="251" c:formatCode="General">
                  <c:v>1</c:v>
                </c:pt>
                <c:pt idx="252" c:formatCode="General">
                  <c:v>1</c:v>
                </c:pt>
                <c:pt idx="253" c:formatCode="General">
                  <c:v>1</c:v>
                </c:pt>
                <c:pt idx="254" c:formatCode="General">
                  <c:v>0.225333333333333</c:v>
                </c:pt>
                <c:pt idx="255" c:formatCode="General">
                  <c:v>0.204</c:v>
                </c:pt>
                <c:pt idx="256" c:formatCode="General">
                  <c:v>0.210666666666667</c:v>
                </c:pt>
                <c:pt idx="257" c:formatCode="General">
                  <c:v>0.216</c:v>
                </c:pt>
                <c:pt idx="258" c:formatCode="General">
                  <c:v>0.222666666666667</c:v>
                </c:pt>
                <c:pt idx="259" c:formatCode="General">
                  <c:v>0.228</c:v>
                </c:pt>
                <c:pt idx="260" c:formatCode="General">
                  <c:v>0.234666666666667</c:v>
                </c:pt>
                <c:pt idx="261" c:formatCode="General">
                  <c:v>0.24</c:v>
                </c:pt>
                <c:pt idx="262" c:formatCode="General">
                  <c:v>0.192</c:v>
                </c:pt>
                <c:pt idx="263" c:formatCode="General">
                  <c:v>0.192</c:v>
                </c:pt>
                <c:pt idx="264" c:formatCode="General">
                  <c:v>0.192</c:v>
                </c:pt>
                <c:pt idx="265" c:formatCode="General">
                  <c:v>0.190666666666667</c:v>
                </c:pt>
                <c:pt idx="266" c:formatCode="General">
                  <c:v>0.190666666666667</c:v>
                </c:pt>
                <c:pt idx="267" c:formatCode="General">
                  <c:v>0.189333333333333</c:v>
                </c:pt>
                <c:pt idx="268" c:formatCode="General">
                  <c:v>0.189333333333333</c:v>
                </c:pt>
                <c:pt idx="269" c:formatCode="General">
                  <c:v>0.189333333333333</c:v>
                </c:pt>
                <c:pt idx="270" c:formatCode="General">
                  <c:v>0.188</c:v>
                </c:pt>
              </c:numCache>
            </c:numRef>
          </c:val>
          <c:smooth val="1"/>
        </c:ser>
        <c:ser>
          <c:idx val="6"/>
          <c:order val="6"/>
          <c:tx>
            <c:strRef>
              <c:f>'SAMIR_ex_blé TLS'!$H$14</c:f>
              <c:strCache>
                <c:ptCount val="1"/>
                <c:pt idx="0">
                  <c:v>Kcb</c:v>
                </c:pt>
              </c:strCache>
            </c:strRef>
          </c:tx>
          <c:spPr>
            <a:ln w="28440" cap="rnd" cmpd="sng" algn="ctr">
              <a:solidFill>
                <a:srgbClr val="3D97AF"/>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TLS'!$H$15:$H$502</c:f>
              <c:numCache>
                <c:formatCode>0.0000</c:formatCode>
                <c:ptCount val="488"/>
                <c:pt idx="0">
                  <c:v>0.1427906381947</c:v>
                </c:pt>
                <c:pt idx="1">
                  <c:v>0.1427906381947</c:v>
                </c:pt>
                <c:pt idx="2">
                  <c:v>0.1427906381947</c:v>
                </c:pt>
                <c:pt idx="3">
                  <c:v>0.1427906381947</c:v>
                </c:pt>
                <c:pt idx="4">
                  <c:v>0.141287578845282</c:v>
                </c:pt>
                <c:pt idx="5">
                  <c:v>0.141287578845282</c:v>
                </c:pt>
                <c:pt idx="6">
                  <c:v>0.141287578845282</c:v>
                </c:pt>
                <c:pt idx="7">
                  <c:v>0.141287578845282</c:v>
                </c:pt>
                <c:pt idx="8">
                  <c:v>0.141287578845282</c:v>
                </c:pt>
                <c:pt idx="9">
                  <c:v>0.141287578845282</c:v>
                </c:pt>
                <c:pt idx="10">
                  <c:v>0.139784519495864</c:v>
                </c:pt>
                <c:pt idx="11">
                  <c:v>0.139784519495864</c:v>
                </c:pt>
                <c:pt idx="12">
                  <c:v>0.139784519495864</c:v>
                </c:pt>
                <c:pt idx="13">
                  <c:v>0.165336528435968</c:v>
                </c:pt>
                <c:pt idx="14">
                  <c:v>0.189385478026655</c:v>
                </c:pt>
                <c:pt idx="15">
                  <c:v>0.213434427617341</c:v>
                </c:pt>
                <c:pt idx="16">
                  <c:v>0.211931368267923</c:v>
                </c:pt>
                <c:pt idx="17">
                  <c:v>0.210428308918505</c:v>
                </c:pt>
                <c:pt idx="18">
                  <c:v>0.207422190219669</c:v>
                </c:pt>
                <c:pt idx="19">
                  <c:v>0.219446665015012</c:v>
                </c:pt>
                <c:pt idx="20">
                  <c:v>0.231471139810356</c:v>
                </c:pt>
                <c:pt idx="21">
                  <c:v>0.244998673955117</c:v>
                </c:pt>
                <c:pt idx="22">
                  <c:v>0.25702314875046</c:v>
                </c:pt>
                <c:pt idx="23">
                  <c:v>0.269047623545803</c:v>
                </c:pt>
                <c:pt idx="24">
                  <c:v>0.281072098341146</c:v>
                </c:pt>
                <c:pt idx="25">
                  <c:v>0.293096573136489</c:v>
                </c:pt>
                <c:pt idx="26">
                  <c:v>0.305121047931832</c:v>
                </c:pt>
                <c:pt idx="27">
                  <c:v>0.317145522727175</c:v>
                </c:pt>
                <c:pt idx="28">
                  <c:v>0.33518223492019</c:v>
                </c:pt>
                <c:pt idx="29">
                  <c:v>0.351715887763787</c:v>
                </c:pt>
                <c:pt idx="30">
                  <c:v>0.368249540607384</c:v>
                </c:pt>
                <c:pt idx="31">
                  <c:v>0.384783193450981</c:v>
                </c:pt>
                <c:pt idx="32">
                  <c:v>0.402819905643995</c:v>
                </c:pt>
                <c:pt idx="33">
                  <c:v>0.419353558487592</c:v>
                </c:pt>
                <c:pt idx="34">
                  <c:v>0.435887211331189</c:v>
                </c:pt>
                <c:pt idx="35">
                  <c:v>0.453923923524204</c:v>
                </c:pt>
                <c:pt idx="36">
                  <c:v>0.470457576367801</c:v>
                </c:pt>
                <c:pt idx="37">
                  <c:v>0.474966754416054</c:v>
                </c:pt>
                <c:pt idx="38">
                  <c:v>0.479475932464308</c:v>
                </c:pt>
                <c:pt idx="39">
                  <c:v>0.483985110512562</c:v>
                </c:pt>
                <c:pt idx="40">
                  <c:v>0.489997347910233</c:v>
                </c:pt>
                <c:pt idx="41">
                  <c:v>0.494506525958487</c:v>
                </c:pt>
                <c:pt idx="42">
                  <c:v>0.499015704006741</c:v>
                </c:pt>
                <c:pt idx="43">
                  <c:v>0.503524882054994</c:v>
                </c:pt>
                <c:pt idx="44">
                  <c:v>0.508034060103248</c:v>
                </c:pt>
                <c:pt idx="45">
                  <c:v>0.514046297500919</c:v>
                </c:pt>
                <c:pt idx="46">
                  <c:v>0.518555475549173</c:v>
                </c:pt>
                <c:pt idx="47">
                  <c:v>0.523064653597427</c:v>
                </c:pt>
                <c:pt idx="48">
                  <c:v>0.527573831645681</c:v>
                </c:pt>
                <c:pt idx="49">
                  <c:v>0.532083009693934</c:v>
                </c:pt>
                <c:pt idx="50">
                  <c:v>0.538095247091606</c:v>
                </c:pt>
                <c:pt idx="51">
                  <c:v>0.54260442513986</c:v>
                </c:pt>
                <c:pt idx="52">
                  <c:v>0.547113603188113</c:v>
                </c:pt>
                <c:pt idx="53">
                  <c:v>0.551622781236367</c:v>
                </c:pt>
                <c:pt idx="54">
                  <c:v>0.556131959284621</c:v>
                </c:pt>
                <c:pt idx="55">
                  <c:v>0.560641137332874</c:v>
                </c:pt>
                <c:pt idx="56">
                  <c:v>0.566653374730546</c:v>
                </c:pt>
                <c:pt idx="57">
                  <c:v>0.571162552778799</c:v>
                </c:pt>
                <c:pt idx="58">
                  <c:v>0.575671730827053</c:v>
                </c:pt>
                <c:pt idx="59">
                  <c:v>0.580180908875307</c:v>
                </c:pt>
                <c:pt idx="60">
                  <c:v>0.584690086923561</c:v>
                </c:pt>
                <c:pt idx="61">
                  <c:v>0.590702324321232</c:v>
                </c:pt>
                <c:pt idx="62">
                  <c:v>0.595211502369486</c:v>
                </c:pt>
                <c:pt idx="63">
                  <c:v>0.59972068041774</c:v>
                </c:pt>
                <c:pt idx="64">
                  <c:v>0.604229858465993</c:v>
                </c:pt>
                <c:pt idx="65">
                  <c:v>0.608739036514247</c:v>
                </c:pt>
                <c:pt idx="66">
                  <c:v>0.614751273911918</c:v>
                </c:pt>
                <c:pt idx="67">
                  <c:v>0.619260451960172</c:v>
                </c:pt>
                <c:pt idx="68">
                  <c:v>0.623769630008426</c:v>
                </c:pt>
                <c:pt idx="69">
                  <c:v>0.628278808056679</c:v>
                </c:pt>
                <c:pt idx="70">
                  <c:v>0.632787986104933</c:v>
                </c:pt>
                <c:pt idx="71">
                  <c:v>0.638800223502605</c:v>
                </c:pt>
                <c:pt idx="72">
                  <c:v>0.643309401550858</c:v>
                </c:pt>
                <c:pt idx="73">
                  <c:v>0.647818579599112</c:v>
                </c:pt>
                <c:pt idx="74">
                  <c:v>0.652327757647366</c:v>
                </c:pt>
                <c:pt idx="75">
                  <c:v>0.656836935695619</c:v>
                </c:pt>
                <c:pt idx="76">
                  <c:v>0.661346113743873</c:v>
                </c:pt>
                <c:pt idx="77">
                  <c:v>0.667358351141545</c:v>
                </c:pt>
                <c:pt idx="78">
                  <c:v>0.671867529189798</c:v>
                </c:pt>
                <c:pt idx="79">
                  <c:v>0.676376707238052</c:v>
                </c:pt>
                <c:pt idx="80">
                  <c:v>0.680885885286306</c:v>
                </c:pt>
                <c:pt idx="81">
                  <c:v>0.685395063334559</c:v>
                </c:pt>
                <c:pt idx="82">
                  <c:v>0.691407300732231</c:v>
                </c:pt>
                <c:pt idx="83">
                  <c:v>0.695916478780485</c:v>
                </c:pt>
                <c:pt idx="84">
                  <c:v>0.700425656828738</c:v>
                </c:pt>
                <c:pt idx="85">
                  <c:v>0.704934834876992</c:v>
                </c:pt>
                <c:pt idx="86">
                  <c:v>0.709444012925246</c:v>
                </c:pt>
                <c:pt idx="87">
                  <c:v>0.715456250322917</c:v>
                </c:pt>
                <c:pt idx="88">
                  <c:v>0.719965428371171</c:v>
                </c:pt>
                <c:pt idx="89">
                  <c:v>0.724474606419425</c:v>
                </c:pt>
                <c:pt idx="90">
                  <c:v>0.728983784467678</c:v>
                </c:pt>
                <c:pt idx="91">
                  <c:v>0.733492962515932</c:v>
                </c:pt>
                <c:pt idx="92">
                  <c:v>0.739505199913604</c:v>
                </c:pt>
                <c:pt idx="93">
                  <c:v>0.744014377961857</c:v>
                </c:pt>
                <c:pt idx="94">
                  <c:v>0.748523556010111</c:v>
                </c:pt>
                <c:pt idx="95">
                  <c:v>0.753032734058365</c:v>
                </c:pt>
                <c:pt idx="96">
                  <c:v>0.757541912106618</c:v>
                </c:pt>
                <c:pt idx="97">
                  <c:v>0.76355414950429</c:v>
                </c:pt>
                <c:pt idx="98">
                  <c:v>0.768063327552543</c:v>
                </c:pt>
                <c:pt idx="99">
                  <c:v>0.772572505600797</c:v>
                </c:pt>
                <c:pt idx="100">
                  <c:v>0.777081683649051</c:v>
                </c:pt>
                <c:pt idx="101">
                  <c:v>0.781590861697305</c:v>
                </c:pt>
                <c:pt idx="102">
                  <c:v>0.786100039745558</c:v>
                </c:pt>
                <c:pt idx="103">
                  <c:v>0.79211227714323</c:v>
                </c:pt>
                <c:pt idx="104">
                  <c:v>0.796621455191484</c:v>
                </c:pt>
                <c:pt idx="105">
                  <c:v>0.801130633239737</c:v>
                </c:pt>
                <c:pt idx="106">
                  <c:v>0.805639811287991</c:v>
                </c:pt>
                <c:pt idx="107">
                  <c:v>0.810148989336244</c:v>
                </c:pt>
                <c:pt idx="108">
                  <c:v>0.816161226733916</c:v>
                </c:pt>
                <c:pt idx="109">
                  <c:v>0.82067040478217</c:v>
                </c:pt>
                <c:pt idx="110">
                  <c:v>0.825179582830423</c:v>
                </c:pt>
                <c:pt idx="111">
                  <c:v>0.829688760878677</c:v>
                </c:pt>
                <c:pt idx="112">
                  <c:v>0.834197938926931</c:v>
                </c:pt>
                <c:pt idx="113">
                  <c:v>0.840210176324602</c:v>
                </c:pt>
                <c:pt idx="114">
                  <c:v>0.844719354372856</c:v>
                </c:pt>
                <c:pt idx="115">
                  <c:v>0.84922853242111</c:v>
                </c:pt>
                <c:pt idx="116">
                  <c:v>0.853737710469363</c:v>
                </c:pt>
                <c:pt idx="117">
                  <c:v>0.858246888517617</c:v>
                </c:pt>
                <c:pt idx="118">
                  <c:v>0.864259125915289</c:v>
                </c:pt>
                <c:pt idx="119">
                  <c:v>0.868768303963542</c:v>
                </c:pt>
                <c:pt idx="120">
                  <c:v>0.873277482011796</c:v>
                </c:pt>
                <c:pt idx="121">
                  <c:v>0.87778666006005</c:v>
                </c:pt>
                <c:pt idx="122">
                  <c:v>0.882295838108303</c:v>
                </c:pt>
                <c:pt idx="123">
                  <c:v>0.886805016156557</c:v>
                </c:pt>
                <c:pt idx="124">
                  <c:v>0.892817253554229</c:v>
                </c:pt>
                <c:pt idx="125">
                  <c:v>0.897326431602482</c:v>
                </c:pt>
                <c:pt idx="126">
                  <c:v>0.901835609650736</c:v>
                </c:pt>
                <c:pt idx="127">
                  <c:v>0.90634478769899</c:v>
                </c:pt>
                <c:pt idx="128">
                  <c:v>0.910853965747243</c:v>
                </c:pt>
                <c:pt idx="129">
                  <c:v>0.916866203144915</c:v>
                </c:pt>
                <c:pt idx="130">
                  <c:v>0.921375381193169</c:v>
                </c:pt>
                <c:pt idx="131">
                  <c:v>0.925884559241422</c:v>
                </c:pt>
                <c:pt idx="132">
                  <c:v>0.930393737289676</c:v>
                </c:pt>
                <c:pt idx="133">
                  <c:v>0.93490291533793</c:v>
                </c:pt>
                <c:pt idx="134">
                  <c:v>0.940915152735601</c:v>
                </c:pt>
                <c:pt idx="135">
                  <c:v>0.945424330783855</c:v>
                </c:pt>
                <c:pt idx="136">
                  <c:v>0.949933508832108</c:v>
                </c:pt>
                <c:pt idx="137">
                  <c:v>0.954442686880362</c:v>
                </c:pt>
                <c:pt idx="138">
                  <c:v>0.958951864928616</c:v>
                </c:pt>
                <c:pt idx="139">
                  <c:v>0.964964102326287</c:v>
                </c:pt>
                <c:pt idx="140">
                  <c:v>0.969473280374541</c:v>
                </c:pt>
                <c:pt idx="141">
                  <c:v>0.973982458422795</c:v>
                </c:pt>
                <c:pt idx="142">
                  <c:v>0.978491636471049</c:v>
                </c:pt>
                <c:pt idx="143">
                  <c:v>0.983000814519302</c:v>
                </c:pt>
                <c:pt idx="144">
                  <c:v>0.989013051916974</c:v>
                </c:pt>
                <c:pt idx="145">
                  <c:v>0.993522229965227</c:v>
                </c:pt>
                <c:pt idx="146">
                  <c:v>0.998031408013481</c:v>
                </c:pt>
                <c:pt idx="147">
                  <c:v>1.00254058606173</c:v>
                </c:pt>
                <c:pt idx="148">
                  <c:v>1.00704976410999</c:v>
                </c:pt>
                <c:pt idx="149">
                  <c:v>1.01155894215824</c:v>
                </c:pt>
                <c:pt idx="150">
                  <c:v>1.01757117955591</c:v>
                </c:pt>
                <c:pt idx="151">
                  <c:v>1.02208035760417</c:v>
                </c:pt>
                <c:pt idx="152">
                  <c:v>1.02658953565242</c:v>
                </c:pt>
                <c:pt idx="153">
                  <c:v>1.03109871370067</c:v>
                </c:pt>
                <c:pt idx="154">
                  <c:v>1.03560789174893</c:v>
                </c:pt>
                <c:pt idx="155">
                  <c:v>1.0416201291466</c:v>
                </c:pt>
                <c:pt idx="156">
                  <c:v>1.04612930719485</c:v>
                </c:pt>
                <c:pt idx="157">
                  <c:v>1.05063848524311</c:v>
                </c:pt>
                <c:pt idx="158">
                  <c:v>1.05514766329136</c:v>
                </c:pt>
                <c:pt idx="159">
                  <c:v>1.05965684133961</c:v>
                </c:pt>
                <c:pt idx="160">
                  <c:v>1.06566907873729</c:v>
                </c:pt>
                <c:pt idx="161">
                  <c:v>1.07017825678554</c:v>
                </c:pt>
                <c:pt idx="162">
                  <c:v>1.07468743483379</c:v>
                </c:pt>
                <c:pt idx="163">
                  <c:v>1.07919661288205</c:v>
                </c:pt>
                <c:pt idx="164">
                  <c:v>1.0837057909303</c:v>
                </c:pt>
                <c:pt idx="165">
                  <c:v>1.08971802832797</c:v>
                </c:pt>
                <c:pt idx="166">
                  <c:v>1.09422720637623</c:v>
                </c:pt>
                <c:pt idx="167">
                  <c:v>1.09873638442448</c:v>
                </c:pt>
                <c:pt idx="168">
                  <c:v>1.10324556247273</c:v>
                </c:pt>
                <c:pt idx="169">
                  <c:v>1.10775474052099</c:v>
                </c:pt>
                <c:pt idx="170">
                  <c:v>1.11226391856924</c:v>
                </c:pt>
                <c:pt idx="171">
                  <c:v>1.11827615596691</c:v>
                </c:pt>
                <c:pt idx="172">
                  <c:v>1.12278533401517</c:v>
                </c:pt>
                <c:pt idx="173">
                  <c:v>1.12729451206342</c:v>
                </c:pt>
                <c:pt idx="174">
                  <c:v>1.13180369011167</c:v>
                </c:pt>
                <c:pt idx="175">
                  <c:v>1.13631286815993</c:v>
                </c:pt>
                <c:pt idx="176">
                  <c:v>1.1423251055576</c:v>
                </c:pt>
                <c:pt idx="177">
                  <c:v>1.14683428360585</c:v>
                </c:pt>
                <c:pt idx="178">
                  <c:v>1.15</c:v>
                </c:pt>
                <c:pt idx="179">
                  <c:v>1.15</c:v>
                </c:pt>
                <c:pt idx="180">
                  <c:v>1.15</c:v>
                </c:pt>
                <c:pt idx="181">
                  <c:v>1.15</c:v>
                </c:pt>
                <c:pt idx="182">
                  <c:v>1.15</c:v>
                </c:pt>
                <c:pt idx="183">
                  <c:v>1.15</c:v>
                </c:pt>
                <c:pt idx="184">
                  <c:v>1.15</c:v>
                </c:pt>
                <c:pt idx="185">
                  <c:v>1.15</c:v>
                </c:pt>
                <c:pt idx="186">
                  <c:v>1.15</c:v>
                </c:pt>
                <c:pt idx="187">
                  <c:v>1.15</c:v>
                </c:pt>
                <c:pt idx="188">
                  <c:v>1.15</c:v>
                </c:pt>
                <c:pt idx="189">
                  <c:v>1.15</c:v>
                </c:pt>
                <c:pt idx="190">
                  <c:v>1.14683428360585</c:v>
                </c:pt>
                <c:pt idx="191">
                  <c:v>1.14082204620818</c:v>
                </c:pt>
                <c:pt idx="192">
                  <c:v>1.13631286815993</c:v>
                </c:pt>
                <c:pt idx="193">
                  <c:v>1.13030063076226</c:v>
                </c:pt>
                <c:pt idx="194">
                  <c:v>1.12428839336458</c:v>
                </c:pt>
                <c:pt idx="195">
                  <c:v>1.11827615596691</c:v>
                </c:pt>
                <c:pt idx="196">
                  <c:v>1.11376697791866</c:v>
                </c:pt>
                <c:pt idx="197">
                  <c:v>1.10775474052099</c:v>
                </c:pt>
                <c:pt idx="198">
                  <c:v>1.10174250312332</c:v>
                </c:pt>
                <c:pt idx="199">
                  <c:v>1.09723332507506</c:v>
                </c:pt>
                <c:pt idx="200">
                  <c:v>1.09122108767739</c:v>
                </c:pt>
                <c:pt idx="201">
                  <c:v>1.08520885027972</c:v>
                </c:pt>
                <c:pt idx="202">
                  <c:v>1.08069967223147</c:v>
                </c:pt>
                <c:pt idx="203">
                  <c:v>1.07468743483379</c:v>
                </c:pt>
                <c:pt idx="204">
                  <c:v>1.06867519743612</c:v>
                </c:pt>
                <c:pt idx="205">
                  <c:v>1.06416601938787</c:v>
                </c:pt>
                <c:pt idx="206">
                  <c:v>1.0581537819902</c:v>
                </c:pt>
                <c:pt idx="207">
                  <c:v>1.05214154459253</c:v>
                </c:pt>
                <c:pt idx="208">
                  <c:v>1.04612930719485</c:v>
                </c:pt>
                <c:pt idx="209">
                  <c:v>1.0416201291466</c:v>
                </c:pt>
                <c:pt idx="210">
                  <c:v>1.03560789174893</c:v>
                </c:pt>
                <c:pt idx="211">
                  <c:v>1.02959565435126</c:v>
                </c:pt>
                <c:pt idx="212">
                  <c:v>1.025086476303</c:v>
                </c:pt>
                <c:pt idx="213">
                  <c:v>1.01907423890533</c:v>
                </c:pt>
                <c:pt idx="214">
                  <c:v>1.01306200150766</c:v>
                </c:pt>
                <c:pt idx="215">
                  <c:v>1.00855282345941</c:v>
                </c:pt>
                <c:pt idx="216">
                  <c:v>1.00254058606173</c:v>
                </c:pt>
                <c:pt idx="217">
                  <c:v>0.996528348664063</c:v>
                </c:pt>
                <c:pt idx="218">
                  <c:v>0.990516111266392</c:v>
                </c:pt>
                <c:pt idx="219">
                  <c:v>0.986006933218138</c:v>
                </c:pt>
                <c:pt idx="220">
                  <c:v>0.979994695820466</c:v>
                </c:pt>
                <c:pt idx="221">
                  <c:v>0.973982458422795</c:v>
                </c:pt>
                <c:pt idx="222">
                  <c:v>0.969473280374541</c:v>
                </c:pt>
                <c:pt idx="223">
                  <c:v>0.96346104297687</c:v>
                </c:pt>
                <c:pt idx="224">
                  <c:v>0.957448805579198</c:v>
                </c:pt>
                <c:pt idx="225">
                  <c:v>0.93490291533793</c:v>
                </c:pt>
                <c:pt idx="226">
                  <c:v>0.910853965747243</c:v>
                </c:pt>
                <c:pt idx="227">
                  <c:v>0.886805016156557</c:v>
                </c:pt>
                <c:pt idx="228">
                  <c:v>0.864259125915289</c:v>
                </c:pt>
                <c:pt idx="229">
                  <c:v>0.840210176324602</c:v>
                </c:pt>
                <c:pt idx="230">
                  <c:v>0.817664286083334</c:v>
                </c:pt>
                <c:pt idx="231">
                  <c:v>0.793615336492648</c:v>
                </c:pt>
                <c:pt idx="232">
                  <c:v>0.769566386901961</c:v>
                </c:pt>
                <c:pt idx="233">
                  <c:v>0.747020496660693</c:v>
                </c:pt>
                <c:pt idx="234">
                  <c:v>0.722971547070007</c:v>
                </c:pt>
                <c:pt idx="235">
                  <c:v>0.700425656828738</c:v>
                </c:pt>
                <c:pt idx="236">
                  <c:v>0.676376707238052</c:v>
                </c:pt>
                <c:pt idx="237">
                  <c:v>0.652327757647366</c:v>
                </c:pt>
                <c:pt idx="238">
                  <c:v>0.629781867406097</c:v>
                </c:pt>
                <c:pt idx="239">
                  <c:v>0.605732917815411</c:v>
                </c:pt>
                <c:pt idx="240">
                  <c:v>0.581683968224725</c:v>
                </c:pt>
                <c:pt idx="241">
                  <c:v>0.559138077983456</c:v>
                </c:pt>
                <c:pt idx="242">
                  <c:v>0.53508912839277</c:v>
                </c:pt>
                <c:pt idx="243">
                  <c:v>0.512543238151502</c:v>
                </c:pt>
                <c:pt idx="244">
                  <c:v>0.488494288560815</c:v>
                </c:pt>
                <c:pt idx="245">
                  <c:v>0.464445338970129</c:v>
                </c:pt>
                <c:pt idx="246">
                  <c:v>0.441899448728861</c:v>
                </c:pt>
                <c:pt idx="247">
                  <c:v>0.417850499138174</c:v>
                </c:pt>
                <c:pt idx="248">
                  <c:v>0.395304608896906</c:v>
                </c:pt>
                <c:pt idx="249">
                  <c:v>0.37125565930622</c:v>
                </c:pt>
                <c:pt idx="250">
                  <c:v>0.347206709715533</c:v>
                </c:pt>
                <c:pt idx="251">
                  <c:v>0.324660819474265</c:v>
                </c:pt>
                <c:pt idx="252">
                  <c:v>0.300611869883579</c:v>
                </c:pt>
                <c:pt idx="253">
                  <c:v>0.276562920292892</c:v>
                </c:pt>
                <c:pt idx="254">
                  <c:v>0.254017030051624</c:v>
                </c:pt>
                <c:pt idx="255">
                  <c:v>0.229968080460938</c:v>
                </c:pt>
                <c:pt idx="256">
                  <c:v>0.237483377208027</c:v>
                </c:pt>
                <c:pt idx="257">
                  <c:v>0.243495614605699</c:v>
                </c:pt>
                <c:pt idx="258">
                  <c:v>0.251010911352788</c:v>
                </c:pt>
                <c:pt idx="259">
                  <c:v>0.25702314875046</c:v>
                </c:pt>
                <c:pt idx="260">
                  <c:v>0.264538445497549</c:v>
                </c:pt>
                <c:pt idx="261">
                  <c:v>0.270550682895221</c:v>
                </c:pt>
                <c:pt idx="262">
                  <c:v>0.216440546316177</c:v>
                </c:pt>
                <c:pt idx="263">
                  <c:v>0.216440546316177</c:v>
                </c:pt>
                <c:pt idx="264">
                  <c:v>0.216440546316177</c:v>
                </c:pt>
                <c:pt idx="265">
                  <c:v>0.214937486966759</c:v>
                </c:pt>
                <c:pt idx="266">
                  <c:v>0.214937486966759</c:v>
                </c:pt>
                <c:pt idx="267">
                  <c:v>0.213434427617341</c:v>
                </c:pt>
                <c:pt idx="268">
                  <c:v>0.213434427617341</c:v>
                </c:pt>
                <c:pt idx="269">
                  <c:v>0.213434427617341</c:v>
                </c:pt>
                <c:pt idx="270">
                  <c:v>0.211931368267923</c:v>
                </c:pt>
              </c:numCache>
            </c:numRef>
          </c:val>
          <c:smooth val="1"/>
        </c:ser>
        <c:ser>
          <c:idx val="7"/>
          <c:order val="7"/>
          <c:tx>
            <c:strRef>
              <c:f>'SAMIR_ex_blé TLS'!$F$14</c:f>
              <c:strCache>
                <c:ptCount val="1"/>
                <c:pt idx="0">
                  <c:v>Etobs</c:v>
                </c:pt>
              </c:strCache>
            </c:strRef>
          </c:tx>
          <c:spPr>
            <a:ln w="28440" cap="rnd" cmpd="sng" algn="ctr">
              <a:solidFill>
                <a:srgbClr val="000000"/>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TLS'!$F$15:$F$502</c:f>
              <c:numCache>
                <c:formatCode>General</c:formatCode>
                <c:ptCount val="488"/>
                <c:pt idx="1">
                  <c:v>0.5715306</c:v>
                </c:pt>
                <c:pt idx="5">
                  <c:v>0.3784806</c:v>
                </c:pt>
                <c:pt idx="7">
                  <c:v>0.2030436</c:v>
                </c:pt>
                <c:pt idx="10">
                  <c:v>0.2209878</c:v>
                </c:pt>
                <c:pt idx="11">
                  <c:v>0.2742822</c:v>
                </c:pt>
                <c:pt idx="12">
                  <c:v>0.5084136</c:v>
                </c:pt>
                <c:pt idx="13">
                  <c:v>0.5447682</c:v>
                </c:pt>
                <c:pt idx="15">
                  <c:v>0.7212672</c:v>
                </c:pt>
                <c:pt idx="18">
                  <c:v>0.3717018</c:v>
                </c:pt>
                <c:pt idx="19">
                  <c:v>0.3807936</c:v>
                </c:pt>
                <c:pt idx="20">
                  <c:v>0.254241</c:v>
                </c:pt>
                <c:pt idx="21">
                  <c:v>0.3327894</c:v>
                </c:pt>
                <c:pt idx="22">
                  <c:v>0.143793</c:v>
                </c:pt>
                <c:pt idx="23">
                  <c:v>0.3620466</c:v>
                </c:pt>
                <c:pt idx="25">
                  <c:v>0.672021</c:v>
                </c:pt>
                <c:pt idx="26">
                  <c:v>0.9798678</c:v>
                </c:pt>
                <c:pt idx="27">
                  <c:v>0.594864</c:v>
                </c:pt>
                <c:pt idx="31">
                  <c:v>0.8392716</c:v>
                </c:pt>
                <c:pt idx="32">
                  <c:v>0.5585976</c:v>
                </c:pt>
                <c:pt idx="33">
                  <c:v>0.7975674</c:v>
                </c:pt>
                <c:pt idx="36">
                  <c:v>0.846918</c:v>
                </c:pt>
                <c:pt idx="37">
                  <c:v>0.878787</c:v>
                </c:pt>
                <c:pt idx="38">
                  <c:v>0.763452</c:v>
                </c:pt>
                <c:pt idx="39">
                  <c:v>0.489825</c:v>
                </c:pt>
                <c:pt idx="40">
                  <c:v>0.6608808</c:v>
                </c:pt>
                <c:pt idx="41">
                  <c:v>0.3774924</c:v>
                </c:pt>
                <c:pt idx="42">
                  <c:v>0.7460352</c:v>
                </c:pt>
                <c:pt idx="44">
                  <c:v>0.701838</c:v>
                </c:pt>
                <c:pt idx="45">
                  <c:v>0.2584476</c:v>
                </c:pt>
                <c:pt idx="46">
                  <c:v>0.4956462</c:v>
                </c:pt>
                <c:pt idx="47">
                  <c:v>0.825138</c:v>
                </c:pt>
                <c:pt idx="48">
                  <c:v>0.713457</c:v>
                </c:pt>
                <c:pt idx="49">
                  <c:v>0.753075</c:v>
                </c:pt>
                <c:pt idx="50">
                  <c:v>0.3371742</c:v>
                </c:pt>
                <c:pt idx="51">
                  <c:v>0.5830956</c:v>
                </c:pt>
                <c:pt idx="52">
                  <c:v>0.9006786</c:v>
                </c:pt>
                <c:pt idx="53">
                  <c:v>0.5292972</c:v>
                </c:pt>
                <c:pt idx="54">
                  <c:v>0.3609144</c:v>
                </c:pt>
                <c:pt idx="56">
                  <c:v>0.4103406</c:v>
                </c:pt>
                <c:pt idx="59">
                  <c:v>0.4440492</c:v>
                </c:pt>
                <c:pt idx="60">
                  <c:v>0.2421342</c:v>
                </c:pt>
                <c:pt idx="61">
                  <c:v>0.3717702</c:v>
                </c:pt>
                <c:pt idx="62">
                  <c:v>0.5681628</c:v>
                </c:pt>
                <c:pt idx="63">
                  <c:v>0.3918456</c:v>
                </c:pt>
                <c:pt idx="65">
                  <c:v>0.3366144</c:v>
                </c:pt>
                <c:pt idx="67">
                  <c:v>0.222264</c:v>
                </c:pt>
                <c:pt idx="68">
                  <c:v>0.252792</c:v>
                </c:pt>
                <c:pt idx="69">
                  <c:v>0.3526614</c:v>
                </c:pt>
                <c:pt idx="70">
                  <c:v>0.3329748</c:v>
                </c:pt>
                <c:pt idx="73">
                  <c:v>0.4903902</c:v>
                </c:pt>
                <c:pt idx="75">
                  <c:v>0.2119968</c:v>
                </c:pt>
                <c:pt idx="76">
                  <c:v>0.6504894</c:v>
                </c:pt>
                <c:pt idx="77">
                  <c:v>0.4703526</c:v>
                </c:pt>
                <c:pt idx="78">
                  <c:v>0.5815422</c:v>
                </c:pt>
                <c:pt idx="79">
                  <c:v>0.515403</c:v>
                </c:pt>
                <c:pt idx="80">
                  <c:v>0.4943772</c:v>
                </c:pt>
                <c:pt idx="81">
                  <c:v>0.4599018</c:v>
                </c:pt>
                <c:pt idx="82">
                  <c:v>0.4282416</c:v>
                </c:pt>
                <c:pt idx="83">
                  <c:v>0.5938992</c:v>
                </c:pt>
                <c:pt idx="84">
                  <c:v>0.5438088</c:v>
                </c:pt>
                <c:pt idx="85">
                  <c:v>0.7111782</c:v>
                </c:pt>
                <c:pt idx="86">
                  <c:v>0.521883</c:v>
                </c:pt>
                <c:pt idx="88">
                  <c:v>0.3117492</c:v>
                </c:pt>
                <c:pt idx="90">
                  <c:v>0.3764376</c:v>
                </c:pt>
                <c:pt idx="92">
                  <c:v>0.5357934</c:v>
                </c:pt>
                <c:pt idx="93">
                  <c:v>0.5190912</c:v>
                </c:pt>
                <c:pt idx="94">
                  <c:v>0.3126546</c:v>
                </c:pt>
                <c:pt idx="98">
                  <c:v>0.6837876</c:v>
                </c:pt>
                <c:pt idx="99">
                  <c:v>0.65727</c:v>
                </c:pt>
                <c:pt idx="100">
                  <c:v>0.58716</c:v>
                </c:pt>
                <c:pt idx="101">
                  <c:v>0.504135</c:v>
                </c:pt>
                <c:pt idx="102">
                  <c:v>0.183114</c:v>
                </c:pt>
                <c:pt idx="103">
                  <c:v>0.174096</c:v>
                </c:pt>
                <c:pt idx="106">
                  <c:v>0.2081358</c:v>
                </c:pt>
                <c:pt idx="107">
                  <c:v>0.2370024</c:v>
                </c:pt>
                <c:pt idx="108">
                  <c:v>0.3481218</c:v>
                </c:pt>
                <c:pt idx="109">
                  <c:v>0.511461</c:v>
                </c:pt>
                <c:pt idx="110">
                  <c:v>0.6366078</c:v>
                </c:pt>
                <c:pt idx="111">
                  <c:v>0.4308426</c:v>
                </c:pt>
                <c:pt idx="112">
                  <c:v>1.1415456</c:v>
                </c:pt>
                <c:pt idx="113">
                  <c:v>0.4259844</c:v>
                </c:pt>
                <c:pt idx="114">
                  <c:v>1.1841048</c:v>
                </c:pt>
                <c:pt idx="115">
                  <c:v>1.2987</c:v>
                </c:pt>
                <c:pt idx="116">
                  <c:v>0.8498556</c:v>
                </c:pt>
                <c:pt idx="117">
                  <c:v>0.814266</c:v>
                </c:pt>
                <c:pt idx="118">
                  <c:v>1.1055528</c:v>
                </c:pt>
                <c:pt idx="119">
                  <c:v>1.137969</c:v>
                </c:pt>
                <c:pt idx="126">
                  <c:v>0.402543</c:v>
                </c:pt>
                <c:pt idx="127">
                  <c:v>0.4727286</c:v>
                </c:pt>
                <c:pt idx="128">
                  <c:v>1.3229424</c:v>
                </c:pt>
                <c:pt idx="129">
                  <c:v>1.0375884</c:v>
                </c:pt>
                <c:pt idx="130">
                  <c:v>0.9595008</c:v>
                </c:pt>
                <c:pt idx="131">
                  <c:v>1.0717146</c:v>
                </c:pt>
                <c:pt idx="132">
                  <c:v>1.1449566</c:v>
                </c:pt>
                <c:pt idx="134">
                  <c:v>1.3152708</c:v>
                </c:pt>
                <c:pt idx="135">
                  <c:v>1.3643946</c:v>
                </c:pt>
                <c:pt idx="136">
                  <c:v>0.8513388</c:v>
                </c:pt>
                <c:pt idx="138">
                  <c:v>1.7160894</c:v>
                </c:pt>
                <c:pt idx="139">
                  <c:v>1.2346488</c:v>
                </c:pt>
                <c:pt idx="140">
                  <c:v>1.3896288</c:v>
                </c:pt>
                <c:pt idx="141">
                  <c:v>1.9416384</c:v>
                </c:pt>
                <c:pt idx="142">
                  <c:v>1.536255</c:v>
                </c:pt>
                <c:pt idx="143">
                  <c:v>2.47842</c:v>
                </c:pt>
                <c:pt idx="144">
                  <c:v>1.951497</c:v>
                </c:pt>
                <c:pt idx="145">
                  <c:v>1.8637002</c:v>
                </c:pt>
                <c:pt idx="146">
                  <c:v>2.1061548</c:v>
                </c:pt>
                <c:pt idx="147">
                  <c:v>1.5603588</c:v>
                </c:pt>
                <c:pt idx="148">
                  <c:v>2.1282912</c:v>
                </c:pt>
                <c:pt idx="149">
                  <c:v>1.6218234</c:v>
                </c:pt>
                <c:pt idx="150">
                  <c:v>2.342664</c:v>
                </c:pt>
                <c:pt idx="151">
                  <c:v>1.195317</c:v>
                </c:pt>
                <c:pt idx="152">
                  <c:v>1.9223424</c:v>
                </c:pt>
                <c:pt idx="153">
                  <c:v>1.8508464</c:v>
                </c:pt>
                <c:pt idx="154">
                  <c:v>1.5637914</c:v>
                </c:pt>
                <c:pt idx="155">
                  <c:v>1.573506</c:v>
                </c:pt>
                <c:pt idx="156">
                  <c:v>1.4769144</c:v>
                </c:pt>
                <c:pt idx="157">
                  <c:v>1.6243884</c:v>
                </c:pt>
                <c:pt idx="158">
                  <c:v>0.9351288</c:v>
                </c:pt>
                <c:pt idx="159">
                  <c:v>1.7901756</c:v>
                </c:pt>
                <c:pt idx="160">
                  <c:v>2.119932</c:v>
                </c:pt>
                <c:pt idx="161">
                  <c:v>1.0415736</c:v>
                </c:pt>
                <c:pt idx="162">
                  <c:v>2.0967606</c:v>
                </c:pt>
                <c:pt idx="163">
                  <c:v>1.5293322</c:v>
                </c:pt>
                <c:pt idx="164">
                  <c:v>1.1340252</c:v>
                </c:pt>
                <c:pt idx="165">
                  <c:v>1.4517</c:v>
                </c:pt>
                <c:pt idx="166">
                  <c:v>1.7498412</c:v>
                </c:pt>
                <c:pt idx="167">
                  <c:v>1.3775004</c:v>
                </c:pt>
                <c:pt idx="168">
                  <c:v>1.5110406</c:v>
                </c:pt>
                <c:pt idx="169">
                  <c:v>1.9003446</c:v>
                </c:pt>
                <c:pt idx="170">
                  <c:v>2.5612146</c:v>
                </c:pt>
                <c:pt idx="171">
                  <c:v>2.9538576</c:v>
                </c:pt>
                <c:pt idx="172">
                  <c:v>3.090528</c:v>
                </c:pt>
                <c:pt idx="173">
                  <c:v>2.8084806</c:v>
                </c:pt>
                <c:pt idx="174">
                  <c:v>3.040281</c:v>
                </c:pt>
                <c:pt idx="175">
                  <c:v>2.6299584</c:v>
                </c:pt>
                <c:pt idx="176">
                  <c:v>1.7051292</c:v>
                </c:pt>
                <c:pt idx="179" c:formatCode="0.000">
                  <c:v>1.195794</c:v>
                </c:pt>
                <c:pt idx="180" c:formatCode="0.000">
                  <c:v>1.1005974</c:v>
                </c:pt>
                <c:pt idx="181" c:formatCode="0.000">
                  <c:v>3.1937184</c:v>
                </c:pt>
                <c:pt idx="182" c:formatCode="0.000">
                  <c:v>2.8734678</c:v>
                </c:pt>
                <c:pt idx="183" c:formatCode="0.000">
                  <c:v>4.028283</c:v>
                </c:pt>
                <c:pt idx="184" c:formatCode="0.000">
                  <c:v>3.6677826</c:v>
                </c:pt>
                <c:pt idx="185" c:formatCode="0.000">
                  <c:v>4.4587296</c:v>
                </c:pt>
                <c:pt idx="186" c:formatCode="0.000">
                  <c:v>3.9537738</c:v>
                </c:pt>
                <c:pt idx="187" c:formatCode="0.000">
                  <c:v>4.07376</c:v>
                </c:pt>
                <c:pt idx="188" c:formatCode="0.000">
                  <c:v>4.2172218</c:v>
                </c:pt>
                <c:pt idx="189" c:formatCode="0.000">
                  <c:v>1.88631</c:v>
                </c:pt>
                <c:pt idx="190" c:formatCode="0.000">
                  <c:v>3.098223</c:v>
                </c:pt>
                <c:pt idx="191">
                  <c:v>3.0121092</c:v>
                </c:pt>
                <c:pt idx="192">
                  <c:v>3.690162</c:v>
                </c:pt>
                <c:pt idx="193">
                  <c:v>3.658851</c:v>
                </c:pt>
                <c:pt idx="194">
                  <c:v>3.5868726</c:v>
                </c:pt>
                <c:pt idx="197">
                  <c:v>2.3966316</c:v>
                </c:pt>
                <c:pt idx="198">
                  <c:v>3.198195</c:v>
                </c:pt>
                <c:pt idx="199">
                  <c:v>2.9262906</c:v>
                </c:pt>
                <c:pt idx="200">
                  <c:v>4.1173524</c:v>
                </c:pt>
                <c:pt idx="201">
                  <c:v>2.282508</c:v>
                </c:pt>
                <c:pt idx="202">
                  <c:v>3.1175748</c:v>
                </c:pt>
                <c:pt idx="203">
                  <c:v>4.4987526</c:v>
                </c:pt>
                <c:pt idx="205">
                  <c:v>4.8299436</c:v>
                </c:pt>
                <c:pt idx="206">
                  <c:v>4.370949</c:v>
                </c:pt>
                <c:pt idx="207">
                  <c:v>3.651687</c:v>
                </c:pt>
                <c:pt idx="208">
                  <c:v>3.3235146</c:v>
                </c:pt>
                <c:pt idx="209">
                  <c:v>4.38138</c:v>
                </c:pt>
                <c:pt idx="210">
                  <c:v>3.260772</c:v>
                </c:pt>
                <c:pt idx="211">
                  <c:v>2.3839776</c:v>
                </c:pt>
                <c:pt idx="212">
                  <c:v>2.2987116</c:v>
                </c:pt>
                <c:pt idx="213">
                  <c:v>2.1853296</c:v>
                </c:pt>
                <c:pt idx="214">
                  <c:v>2.4272424</c:v>
                </c:pt>
                <c:pt idx="215">
                  <c:v>3.5274888</c:v>
                </c:pt>
                <c:pt idx="216">
                  <c:v>3.0054492</c:v>
                </c:pt>
                <c:pt idx="217">
                  <c:v>4.6392282</c:v>
                </c:pt>
                <c:pt idx="218">
                  <c:v>3.979656</c:v>
                </c:pt>
                <c:pt idx="219">
                  <c:v>2.1850596</c:v>
                </c:pt>
                <c:pt idx="221">
                  <c:v>3.9518352</c:v>
                </c:pt>
                <c:pt idx="223">
                  <c:v>3.137904</c:v>
                </c:pt>
                <c:pt idx="224">
                  <c:v>3.9779244</c:v>
                </c:pt>
                <c:pt idx="225">
                  <c:v>2.384604</c:v>
                </c:pt>
                <c:pt idx="226">
                  <c:v>3.507858</c:v>
                </c:pt>
                <c:pt idx="227">
                  <c:v>3.15414</c:v>
                </c:pt>
                <c:pt idx="228">
                  <c:v>3.827286</c:v>
                </c:pt>
                <c:pt idx="230">
                  <c:v>2.9122218</c:v>
                </c:pt>
                <c:pt idx="231">
                  <c:v>2.2957704</c:v>
                </c:pt>
                <c:pt idx="232">
                  <c:v>3.3036138</c:v>
                </c:pt>
                <c:pt idx="233">
                  <c:v>3.5973882</c:v>
                </c:pt>
                <c:pt idx="234">
                  <c:v>3.8123964</c:v>
                </c:pt>
                <c:pt idx="235">
                  <c:v>2.9197242</c:v>
                </c:pt>
                <c:pt idx="236">
                  <c:v>2.4681726</c:v>
                </c:pt>
                <c:pt idx="237">
                  <c:v>3.2751882</c:v>
                </c:pt>
                <c:pt idx="238">
                  <c:v>2.7092772</c:v>
                </c:pt>
                <c:pt idx="239">
                  <c:v>1.7380116</c:v>
                </c:pt>
                <c:pt idx="240">
                  <c:v>3.2290938</c:v>
                </c:pt>
                <c:pt idx="241">
                  <c:v>2.7662256</c:v>
                </c:pt>
                <c:pt idx="242">
                  <c:v>1.4973192</c:v>
                </c:pt>
                <c:pt idx="243">
                  <c:v>1.8491508</c:v>
                </c:pt>
                <c:pt idx="244">
                  <c:v>1.622313</c:v>
                </c:pt>
                <c:pt idx="245">
                  <c:v>2.2932738</c:v>
                </c:pt>
                <c:pt idx="246">
                  <c:v>2.1320262</c:v>
                </c:pt>
                <c:pt idx="247">
                  <c:v>1.78776</c:v>
                </c:pt>
                <c:pt idx="248">
                  <c:v>1.3417866</c:v>
                </c:pt>
                <c:pt idx="249">
                  <c:v>1.256661</c:v>
                </c:pt>
                <c:pt idx="250">
                  <c:v>1.2409362</c:v>
                </c:pt>
                <c:pt idx="251">
                  <c:v>1.60884</c:v>
                </c:pt>
                <c:pt idx="252">
                  <c:v>1.290465</c:v>
                </c:pt>
                <c:pt idx="253">
                  <c:v>1.3906746</c:v>
                </c:pt>
                <c:pt idx="254">
                  <c:v>1.1221884</c:v>
                </c:pt>
                <c:pt idx="255">
                  <c:v>1.240785</c:v>
                </c:pt>
                <c:pt idx="256">
                  <c:v>0.5637528</c:v>
                </c:pt>
                <c:pt idx="257">
                  <c:v>1.139571</c:v>
                </c:pt>
                <c:pt idx="258">
                  <c:v>1.0131354</c:v>
                </c:pt>
                <c:pt idx="260">
                  <c:v>1.6327656</c:v>
                </c:pt>
                <c:pt idx="261">
                  <c:v>1.6998678</c:v>
                </c:pt>
                <c:pt idx="262">
                  <c:v>1.4876082</c:v>
                </c:pt>
                <c:pt idx="263">
                  <c:v>0.8629848</c:v>
                </c:pt>
                <c:pt idx="264">
                  <c:v>2.0453094</c:v>
                </c:pt>
                <c:pt idx="265">
                  <c:v>1.8421848</c:v>
                </c:pt>
                <c:pt idx="266">
                  <c:v>2.0442006</c:v>
                </c:pt>
                <c:pt idx="267">
                  <c:v>2.1253284</c:v>
                </c:pt>
                <c:pt idx="268">
                  <c:v>1.4051682</c:v>
                </c:pt>
                <c:pt idx="269">
                  <c:v>1.006335</c:v>
                </c:pt>
              </c:numCache>
            </c:numRef>
          </c:val>
          <c:smooth val="1"/>
        </c:ser>
        <c:ser>
          <c:idx val="8"/>
          <c:order val="8"/>
          <c:tx>
            <c:strRef>
              <c:f>'SAMIR_ex_blé TLS'!$I$14</c:f>
              <c:strCache>
                <c:ptCount val="1"/>
                <c:pt idx="0">
                  <c:v>ET</c:v>
                </c:pt>
              </c:strCache>
            </c:strRef>
          </c:tx>
          <c:spPr>
            <a:ln w="28440" cap="rnd" cmpd="sng" algn="ctr">
              <a:solidFill>
                <a:srgbClr val="FF0000"/>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TLS'!$I$15:$I$502</c:f>
              <c:numCache>
                <c:formatCode>0.00</c:formatCode>
                <c:ptCount val="488"/>
                <c:pt idx="0">
                  <c:v>0.373633233613309</c:v>
                </c:pt>
                <c:pt idx="1">
                  <c:v>0.354478835627066</c:v>
                </c:pt>
                <c:pt idx="2">
                  <c:v>0.250378429749347</c:v>
                </c:pt>
                <c:pt idx="3">
                  <c:v>0.393110919518962</c:v>
                </c:pt>
                <c:pt idx="4">
                  <c:v>0.410039625336894</c:v>
                </c:pt>
                <c:pt idx="5">
                  <c:v>0.367916945201666</c:v>
                </c:pt>
                <c:pt idx="6">
                  <c:v>0.434616643525127</c:v>
                </c:pt>
                <c:pt idx="7">
                  <c:v>0.356169973991021</c:v>
                </c:pt>
                <c:pt idx="8">
                  <c:v>0.400981610865076</c:v>
                </c:pt>
                <c:pt idx="9">
                  <c:v>0.331284879807285</c:v>
                </c:pt>
                <c:pt idx="10">
                  <c:v>0.36360648385004</c:v>
                </c:pt>
                <c:pt idx="11">
                  <c:v>0.333535018349676</c:v>
                </c:pt>
                <c:pt idx="12">
                  <c:v>0.325530898193648</c:v>
                </c:pt>
                <c:pt idx="13">
                  <c:v>0.323138614693004</c:v>
                </c:pt>
                <c:pt idx="14">
                  <c:v>0.346177510856622</c:v>
                </c:pt>
                <c:pt idx="15">
                  <c:v>0.410257893214725</c:v>
                </c:pt>
                <c:pt idx="16">
                  <c:v>0.43474685945411</c:v>
                </c:pt>
                <c:pt idx="17">
                  <c:v>0.358923221581537</c:v>
                </c:pt>
                <c:pt idx="18">
                  <c:v>0.338364476927895</c:v>
                </c:pt>
                <c:pt idx="19">
                  <c:v>0.319979477725621</c:v>
                </c:pt>
                <c:pt idx="20">
                  <c:v>0.414594818778623</c:v>
                </c:pt>
                <c:pt idx="21">
                  <c:v>0.367525429906592</c:v>
                </c:pt>
                <c:pt idx="22">
                  <c:v>0.23381088869622</c:v>
                </c:pt>
                <c:pt idx="23">
                  <c:v>0.264022075415593</c:v>
                </c:pt>
                <c:pt idx="24">
                  <c:v>0.180890016838311</c:v>
                </c:pt>
                <c:pt idx="25">
                  <c:v>0.312368923627055</c:v>
                </c:pt>
                <c:pt idx="26">
                  <c:v>0.31472761309381</c:v>
                </c:pt>
                <c:pt idx="27">
                  <c:v>0.262141825264796</c:v>
                </c:pt>
                <c:pt idx="28">
                  <c:v>0.574418149910738</c:v>
                </c:pt>
                <c:pt idx="29">
                  <c:v>0.726651838149166</c:v>
                </c:pt>
                <c:pt idx="30">
                  <c:v>0.343354165131602</c:v>
                </c:pt>
                <c:pt idx="31">
                  <c:v>0.37108048132968</c:v>
                </c:pt>
                <c:pt idx="32">
                  <c:v>0.357869621374165</c:v>
                </c:pt>
                <c:pt idx="33">
                  <c:v>0.310048439745313</c:v>
                </c:pt>
                <c:pt idx="34">
                  <c:v>0.492537618574717</c:v>
                </c:pt>
                <c:pt idx="35">
                  <c:v>0.26691946293858</c:v>
                </c:pt>
                <c:pt idx="36">
                  <c:v>0.592593217709542</c:v>
                </c:pt>
                <c:pt idx="37">
                  <c:v>0.552407410824501</c:v>
                </c:pt>
                <c:pt idx="38">
                  <c:v>0.739392564107039</c:v>
                </c:pt>
                <c:pt idx="39">
                  <c:v>0.383530336821971</c:v>
                </c:pt>
                <c:pt idx="40">
                  <c:v>0.484702584415846</c:v>
                </c:pt>
                <c:pt idx="41">
                  <c:v>0.372399456953029</c:v>
                </c:pt>
                <c:pt idx="42">
                  <c:v>0.305431016983821</c:v>
                </c:pt>
                <c:pt idx="43">
                  <c:v>0.174015125812299</c:v>
                </c:pt>
                <c:pt idx="44">
                  <c:v>0.366952466365022</c:v>
                </c:pt>
                <c:pt idx="45">
                  <c:v>0.24358742795324</c:v>
                </c:pt>
                <c:pt idx="46">
                  <c:v>0.243627285061928</c:v>
                </c:pt>
                <c:pt idx="47">
                  <c:v>0.439880803122186</c:v>
                </c:pt>
                <c:pt idx="48">
                  <c:v>0.40281874213683</c:v>
                </c:pt>
                <c:pt idx="49">
                  <c:v>0.400028393648106</c:v>
                </c:pt>
                <c:pt idx="50">
                  <c:v>0.260558432850563</c:v>
                </c:pt>
                <c:pt idx="51">
                  <c:v>0.469273868940367</c:v>
                </c:pt>
                <c:pt idx="52">
                  <c:v>0.319410124078515</c:v>
                </c:pt>
                <c:pt idx="53">
                  <c:v>0.226001936366479</c:v>
                </c:pt>
                <c:pt idx="54">
                  <c:v>0.192562899763679</c:v>
                </c:pt>
                <c:pt idx="55">
                  <c:v>0.235110219821759</c:v>
                </c:pt>
                <c:pt idx="56">
                  <c:v>0.220267180283717</c:v>
                </c:pt>
                <c:pt idx="57">
                  <c:v>0.161731547142346</c:v>
                </c:pt>
                <c:pt idx="58">
                  <c:v>0.391415147030037</c:v>
                </c:pt>
                <c:pt idx="59">
                  <c:v>0.261378150400157</c:v>
                </c:pt>
                <c:pt idx="60">
                  <c:v>0.263801892163467</c:v>
                </c:pt>
                <c:pt idx="61">
                  <c:v>0.195257174098307</c:v>
                </c:pt>
                <c:pt idx="62">
                  <c:v>0.219626893719413</c:v>
                </c:pt>
                <c:pt idx="63">
                  <c:v>0.103114121150832</c:v>
                </c:pt>
                <c:pt idx="64">
                  <c:v>0.137365468859591</c:v>
                </c:pt>
                <c:pt idx="65">
                  <c:v>0.209901657833021</c:v>
                </c:pt>
                <c:pt idx="66">
                  <c:v>0.121479121677186</c:v>
                </c:pt>
                <c:pt idx="67">
                  <c:v>0.17704904270243</c:v>
                </c:pt>
                <c:pt idx="68">
                  <c:v>0.179382635172186</c:v>
                </c:pt>
                <c:pt idx="69">
                  <c:v>0.156760761789532</c:v>
                </c:pt>
                <c:pt idx="70">
                  <c:v>0.177828231030149</c:v>
                </c:pt>
                <c:pt idx="71">
                  <c:v>0.210131516726873</c:v>
                </c:pt>
                <c:pt idx="72">
                  <c:v>0.272690056303984</c:v>
                </c:pt>
                <c:pt idx="73">
                  <c:v>0.686614441350601</c:v>
                </c:pt>
                <c:pt idx="74">
                  <c:v>0.338732486678774</c:v>
                </c:pt>
                <c:pt idx="75">
                  <c:v>0.351167651304265</c:v>
                </c:pt>
                <c:pt idx="76">
                  <c:v>0.583897668361184</c:v>
                </c:pt>
                <c:pt idx="77">
                  <c:v>0.287588111542018</c:v>
                </c:pt>
                <c:pt idx="78">
                  <c:v>0.671174606412185</c:v>
                </c:pt>
                <c:pt idx="79">
                  <c:v>0.360226068812448</c:v>
                </c:pt>
                <c:pt idx="80">
                  <c:v>0.330114744993119</c:v>
                </c:pt>
                <c:pt idx="81">
                  <c:v>0.323826472184514</c:v>
                </c:pt>
                <c:pt idx="82">
                  <c:v>0.49935091858886</c:v>
                </c:pt>
                <c:pt idx="83">
                  <c:v>0.372977352106067</c:v>
                </c:pt>
                <c:pt idx="84">
                  <c:v>0.457233108024074</c:v>
                </c:pt>
                <c:pt idx="85">
                  <c:v>0.543717720661957</c:v>
                </c:pt>
                <c:pt idx="86">
                  <c:v>0.42467211406954</c:v>
                </c:pt>
                <c:pt idx="87">
                  <c:v>0.276820536150147</c:v>
                </c:pt>
                <c:pt idx="88">
                  <c:v>0.480562177614136</c:v>
                </c:pt>
                <c:pt idx="89">
                  <c:v>0.430716358351498</c:v>
                </c:pt>
                <c:pt idx="90">
                  <c:v>0.40850367413574</c:v>
                </c:pt>
                <c:pt idx="91">
                  <c:v>0.436210525670521</c:v>
                </c:pt>
                <c:pt idx="92">
                  <c:v>1.10715016148959</c:v>
                </c:pt>
                <c:pt idx="93">
                  <c:v>0.596344482680017</c:v>
                </c:pt>
                <c:pt idx="94">
                  <c:v>0.459121635364921</c:v>
                </c:pt>
                <c:pt idx="95">
                  <c:v>0.512223727052635</c:v>
                </c:pt>
                <c:pt idx="96">
                  <c:v>0.540553804602276</c:v>
                </c:pt>
                <c:pt idx="97">
                  <c:v>0.389302594963311</c:v>
                </c:pt>
                <c:pt idx="98">
                  <c:v>0.521812495730329</c:v>
                </c:pt>
                <c:pt idx="99">
                  <c:v>0.636374514000442</c:v>
                </c:pt>
                <c:pt idx="100">
                  <c:v>0.422426802425405</c:v>
                </c:pt>
                <c:pt idx="101">
                  <c:v>0.470575759986586</c:v>
                </c:pt>
                <c:pt idx="102">
                  <c:v>0.236712476844765</c:v>
                </c:pt>
                <c:pt idx="103">
                  <c:v>0.2239536738332</c:v>
                </c:pt>
                <c:pt idx="104">
                  <c:v>0.335876771288226</c:v>
                </c:pt>
                <c:pt idx="105">
                  <c:v>0.339987792542662</c:v>
                </c:pt>
                <c:pt idx="106">
                  <c:v>0.317747833990029</c:v>
                </c:pt>
                <c:pt idx="107">
                  <c:v>0.381265437614289</c:v>
                </c:pt>
                <c:pt idx="108">
                  <c:v>0.517043367728603</c:v>
                </c:pt>
                <c:pt idx="109">
                  <c:v>0.589003920891563</c:v>
                </c:pt>
                <c:pt idx="110">
                  <c:v>0.615276588339998</c:v>
                </c:pt>
                <c:pt idx="111">
                  <c:v>0.416078636645617</c:v>
                </c:pt>
                <c:pt idx="112">
                  <c:v>0.872577668375172</c:v>
                </c:pt>
                <c:pt idx="113">
                  <c:v>0.539219116156969</c:v>
                </c:pt>
                <c:pt idx="114">
                  <c:v>0.964863818590538</c:v>
                </c:pt>
                <c:pt idx="115">
                  <c:v>0.79343410398813</c:v>
                </c:pt>
                <c:pt idx="116">
                  <c:v>0.868267859937835</c:v>
                </c:pt>
                <c:pt idx="117">
                  <c:v>0.91776521688225</c:v>
                </c:pt>
                <c:pt idx="118">
                  <c:v>1.06003881471816</c:v>
                </c:pt>
                <c:pt idx="119">
                  <c:v>1.20334626347541</c:v>
                </c:pt>
                <c:pt idx="120">
                  <c:v>1.42384194547071</c:v>
                </c:pt>
                <c:pt idx="121">
                  <c:v>1.64810319707856</c:v>
                </c:pt>
                <c:pt idx="122">
                  <c:v>1.11724508456341</c:v>
                </c:pt>
                <c:pt idx="123">
                  <c:v>0.550341791972751</c:v>
                </c:pt>
                <c:pt idx="124">
                  <c:v>1.08806904699156</c:v>
                </c:pt>
                <c:pt idx="125">
                  <c:v>0.90737865531801</c:v>
                </c:pt>
                <c:pt idx="126">
                  <c:v>0.6189682629771</c:v>
                </c:pt>
                <c:pt idx="127">
                  <c:v>0.650511093464512</c:v>
                </c:pt>
                <c:pt idx="128">
                  <c:v>1.39087837551005</c:v>
                </c:pt>
                <c:pt idx="129">
                  <c:v>0.858510921227412</c:v>
                </c:pt>
                <c:pt idx="130">
                  <c:v>0.950474311155152</c:v>
                </c:pt>
                <c:pt idx="131">
                  <c:v>0.961090436121819</c:v>
                </c:pt>
                <c:pt idx="132">
                  <c:v>1.01342789181962</c:v>
                </c:pt>
                <c:pt idx="133">
                  <c:v>1.28464391361285</c:v>
                </c:pt>
                <c:pt idx="134">
                  <c:v>1.56737943669554</c:v>
                </c:pt>
                <c:pt idx="135">
                  <c:v>1.2417970442864</c:v>
                </c:pt>
                <c:pt idx="136">
                  <c:v>0.962338335813637</c:v>
                </c:pt>
                <c:pt idx="137">
                  <c:v>1.88016634605048</c:v>
                </c:pt>
                <c:pt idx="138">
                  <c:v>1.61947754287006</c:v>
                </c:pt>
                <c:pt idx="139">
                  <c:v>1.15740376175967</c:v>
                </c:pt>
                <c:pt idx="140">
                  <c:v>1.26537425528757</c:v>
                </c:pt>
                <c:pt idx="141">
                  <c:v>1.70680862579308</c:v>
                </c:pt>
                <c:pt idx="142">
                  <c:v>1.36655385388921</c:v>
                </c:pt>
                <c:pt idx="143">
                  <c:v>2.14669315835697</c:v>
                </c:pt>
                <c:pt idx="144">
                  <c:v>2.19570977423937</c:v>
                </c:pt>
                <c:pt idx="145">
                  <c:v>2.09160338875567</c:v>
                </c:pt>
                <c:pt idx="146">
                  <c:v>2.13020500056411</c:v>
                </c:pt>
                <c:pt idx="147">
                  <c:v>1.95918349995461</c:v>
                </c:pt>
                <c:pt idx="148">
                  <c:v>2.22424229610088</c:v>
                </c:pt>
                <c:pt idx="149">
                  <c:v>1.88642856752293</c:v>
                </c:pt>
                <c:pt idx="150">
                  <c:v>2.37740695144094</c:v>
                </c:pt>
                <c:pt idx="151">
                  <c:v>1.04056247877702</c:v>
                </c:pt>
                <c:pt idx="152">
                  <c:v>1.28306760382181</c:v>
                </c:pt>
                <c:pt idx="153">
                  <c:v>1.30151292571873</c:v>
                </c:pt>
                <c:pt idx="154">
                  <c:v>1.14888325964167</c:v>
                </c:pt>
                <c:pt idx="155">
                  <c:v>1.50777327643397</c:v>
                </c:pt>
                <c:pt idx="156">
                  <c:v>1.26698233928386</c:v>
                </c:pt>
                <c:pt idx="157">
                  <c:v>1.27381547791116</c:v>
                </c:pt>
                <c:pt idx="158">
                  <c:v>0.85804511957216</c:v>
                </c:pt>
                <c:pt idx="159">
                  <c:v>2.08533936979382</c:v>
                </c:pt>
                <c:pt idx="160">
                  <c:v>2.83288911450965</c:v>
                </c:pt>
                <c:pt idx="161">
                  <c:v>1.21876090078633</c:v>
                </c:pt>
                <c:pt idx="162">
                  <c:v>2.22167554617985</c:v>
                </c:pt>
                <c:pt idx="163">
                  <c:v>1.41031800935246</c:v>
                </c:pt>
                <c:pt idx="164">
                  <c:v>1.23521440994019</c:v>
                </c:pt>
                <c:pt idx="165">
                  <c:v>2.00141309365241</c:v>
                </c:pt>
                <c:pt idx="166">
                  <c:v>2.69733440681405</c:v>
                </c:pt>
                <c:pt idx="167">
                  <c:v>1.83421934984734</c:v>
                </c:pt>
                <c:pt idx="168">
                  <c:v>1.6446918862063</c:v>
                </c:pt>
                <c:pt idx="169">
                  <c:v>1.85287946216832</c:v>
                </c:pt>
                <c:pt idx="170">
                  <c:v>2.78933766583099</c:v>
                </c:pt>
                <c:pt idx="171">
                  <c:v>3.34494339086669</c:v>
                </c:pt>
                <c:pt idx="172">
                  <c:v>3.47430754254695</c:v>
                </c:pt>
                <c:pt idx="173">
                  <c:v>3.36497411850931</c:v>
                </c:pt>
                <c:pt idx="174">
                  <c:v>3.42031075151748</c:v>
                </c:pt>
                <c:pt idx="175">
                  <c:v>3.22599223270603</c:v>
                </c:pt>
                <c:pt idx="176">
                  <c:v>2.37489389445425</c:v>
                </c:pt>
                <c:pt idx="177">
                  <c:v>0.963340798228916</c:v>
                </c:pt>
                <c:pt idx="178">
                  <c:v>1.10745</c:v>
                </c:pt>
                <c:pt idx="179">
                  <c:v>1.5341</c:v>
                </c:pt>
                <c:pt idx="180">
                  <c:v>1.3915</c:v>
                </c:pt>
                <c:pt idx="181">
                  <c:v>3.1349</c:v>
                </c:pt>
                <c:pt idx="182">
                  <c:v>3.18205</c:v>
                </c:pt>
                <c:pt idx="183">
                  <c:v>4.14</c:v>
                </c:pt>
                <c:pt idx="184">
                  <c:v>4.301</c:v>
                </c:pt>
                <c:pt idx="185">
                  <c:v>4.4206</c:v>
                </c:pt>
                <c:pt idx="186">
                  <c:v>4.23545</c:v>
                </c:pt>
                <c:pt idx="187">
                  <c:v>4.79665</c:v>
                </c:pt>
                <c:pt idx="188">
                  <c:v>4.8668</c:v>
                </c:pt>
                <c:pt idx="189">
                  <c:v>2.20225</c:v>
                </c:pt>
                <c:pt idx="190">
                  <c:v>3.61138115907483</c:v>
                </c:pt>
                <c:pt idx="191">
                  <c:v>3.58926875124383</c:v>
                </c:pt>
                <c:pt idx="192">
                  <c:v>3.69581788711909</c:v>
                </c:pt>
                <c:pt idx="193">
                  <c:v>2.91396731560986</c:v>
                </c:pt>
                <c:pt idx="194">
                  <c:v>4.40496192520244</c:v>
                </c:pt>
                <c:pt idx="195">
                  <c:v>0.672083969736114</c:v>
                </c:pt>
                <c:pt idx="196">
                  <c:v>2.89913544352227</c:v>
                </c:pt>
                <c:pt idx="197">
                  <c:v>2.72839992590319</c:v>
                </c:pt>
                <c:pt idx="198">
                  <c:v>2.54392343971174</c:v>
                </c:pt>
                <c:pt idx="199">
                  <c:v>2.34917654898571</c:v>
                </c:pt>
                <c:pt idx="200">
                  <c:v>3.44934985814823</c:v>
                </c:pt>
                <c:pt idx="201">
                  <c:v>1.94686467740182</c:v>
                </c:pt>
                <c:pt idx="202">
                  <c:v>2.82819104222974</c:v>
                </c:pt>
                <c:pt idx="203">
                  <c:v>4.34173723672853</c:v>
                </c:pt>
                <c:pt idx="204">
                  <c:v>5.16383855401134</c:v>
                </c:pt>
                <c:pt idx="205">
                  <c:v>4.58123471346477</c:v>
                </c:pt>
                <c:pt idx="206">
                  <c:v>4.85375139798903</c:v>
                </c:pt>
                <c:pt idx="207">
                  <c:v>4.2085661783701</c:v>
                </c:pt>
                <c:pt idx="208">
                  <c:v>2.10271990746166</c:v>
                </c:pt>
                <c:pt idx="209">
                  <c:v>3.63317101046334</c:v>
                </c:pt>
                <c:pt idx="210">
                  <c:v>2.19548873050773</c:v>
                </c:pt>
                <c:pt idx="211">
                  <c:v>1.4723217857223</c:v>
                </c:pt>
                <c:pt idx="212">
                  <c:v>2.57911757437836</c:v>
                </c:pt>
                <c:pt idx="213">
                  <c:v>1.57243155063093</c:v>
                </c:pt>
                <c:pt idx="214">
                  <c:v>2.27837644139073</c:v>
                </c:pt>
                <c:pt idx="215">
                  <c:v>3.42000262435085</c:v>
                </c:pt>
                <c:pt idx="216">
                  <c:v>3.33946269217164</c:v>
                </c:pt>
                <c:pt idx="217">
                  <c:v>4.43255809485775</c:v>
                </c:pt>
                <c:pt idx="218">
                  <c:v>4.32459334178907</c:v>
                </c:pt>
                <c:pt idx="219">
                  <c:v>1.97694390110237</c:v>
                </c:pt>
                <c:pt idx="220">
                  <c:v>0.910415072417213</c:v>
                </c:pt>
                <c:pt idx="221">
                  <c:v>3.2219339724626</c:v>
                </c:pt>
                <c:pt idx="222">
                  <c:v>2.08533702608564</c:v>
                </c:pt>
                <c:pt idx="223">
                  <c:v>2.50692563382581</c:v>
                </c:pt>
                <c:pt idx="224">
                  <c:v>4.00117855851547</c:v>
                </c:pt>
                <c:pt idx="225">
                  <c:v>1.96236121929431</c:v>
                </c:pt>
                <c:pt idx="226">
                  <c:v>2.69521688464609</c:v>
                </c:pt>
                <c:pt idx="227">
                  <c:v>2.79609621594162</c:v>
                </c:pt>
                <c:pt idx="228">
                  <c:v>3.37666040495103</c:v>
                </c:pt>
                <c:pt idx="229">
                  <c:v>1.07126797481387</c:v>
                </c:pt>
                <c:pt idx="230">
                  <c:v>2.77433492268075</c:v>
                </c:pt>
                <c:pt idx="231">
                  <c:v>2.12371464045433</c:v>
                </c:pt>
                <c:pt idx="232">
                  <c:v>3.40994866036259</c:v>
                </c:pt>
                <c:pt idx="233">
                  <c:v>3.5558175641049</c:v>
                </c:pt>
                <c:pt idx="234">
                  <c:v>3.81584382543549</c:v>
                </c:pt>
                <c:pt idx="235">
                  <c:v>3.01112989870675</c:v>
                </c:pt>
                <c:pt idx="236">
                  <c:v>2.3889625299648</c:v>
                </c:pt>
                <c:pt idx="237">
                  <c:v>3.40645555043454</c:v>
                </c:pt>
                <c:pt idx="238">
                  <c:v>2.86298836922812</c:v>
                </c:pt>
                <c:pt idx="239">
                  <c:v>2.16367798243665</c:v>
                </c:pt>
                <c:pt idx="240">
                  <c:v>2.25577042877548</c:v>
                </c:pt>
                <c:pt idx="241">
                  <c:v>2.69672295011421</c:v>
                </c:pt>
                <c:pt idx="242">
                  <c:v>1.65449558499044</c:v>
                </c:pt>
                <c:pt idx="243">
                  <c:v>2.60064439038072</c:v>
                </c:pt>
                <c:pt idx="244">
                  <c:v>2.36968579380851</c:v>
                </c:pt>
                <c:pt idx="245">
                  <c:v>2.51218483848943</c:v>
                </c:pt>
                <c:pt idx="246">
                  <c:v>1.65182013934848</c:v>
                </c:pt>
                <c:pt idx="247">
                  <c:v>1.6429881626113</c:v>
                </c:pt>
                <c:pt idx="248">
                  <c:v>1.36775394678329</c:v>
                </c:pt>
                <c:pt idx="249">
                  <c:v>1.7010934309411</c:v>
                </c:pt>
                <c:pt idx="250">
                  <c:v>0.530531852445335</c:v>
                </c:pt>
                <c:pt idx="251">
                  <c:v>1.08923704933616</c:v>
                </c:pt>
                <c:pt idx="252">
                  <c:v>0.943019435824786</c:v>
                </c:pt>
                <c:pt idx="253">
                  <c:v>1.3111848051086</c:v>
                </c:pt>
                <c:pt idx="254">
                  <c:v>1.27599424316439</c:v>
                </c:pt>
                <c:pt idx="255">
                  <c:v>1.91865570135872</c:v>
                </c:pt>
                <c:pt idx="256">
                  <c:v>0.549907450071955</c:v>
                </c:pt>
                <c:pt idx="257">
                  <c:v>1.19052073241998</c:v>
                </c:pt>
                <c:pt idx="258">
                  <c:v>1.23496805800452</c:v>
                </c:pt>
                <c:pt idx="259">
                  <c:v>1.30294849787608</c:v>
                </c:pt>
                <c:pt idx="260">
                  <c:v>1.73874324595076</c:v>
                </c:pt>
                <c:pt idx="261">
                  <c:v>2.08922466540657</c:v>
                </c:pt>
                <c:pt idx="262">
                  <c:v>1.80142415683991</c:v>
                </c:pt>
                <c:pt idx="263">
                  <c:v>0.452873063126467</c:v>
                </c:pt>
                <c:pt idx="264">
                  <c:v>1.06700652608442</c:v>
                </c:pt>
                <c:pt idx="265">
                  <c:v>1.39958679918865</c:v>
                </c:pt>
                <c:pt idx="266">
                  <c:v>0.977807241237024</c:v>
                </c:pt>
                <c:pt idx="267">
                  <c:v>1.61546644608425</c:v>
                </c:pt>
                <c:pt idx="268">
                  <c:v>2.0180673138962</c:v>
                </c:pt>
                <c:pt idx="269">
                  <c:v>1.59260360318898</c:v>
                </c:pt>
                <c:pt idx="270">
                  <c:v>2.01953193826944</c:v>
                </c:pt>
              </c:numCache>
            </c:numRef>
          </c:val>
          <c:smooth val="1"/>
        </c:ser>
        <c:ser>
          <c:idx val="9"/>
          <c:order val="9"/>
          <c:tx>
            <c:strRef>
              <c:f>'SAMIR_ex_blé TLS'!$J$14</c:f>
              <c:strCache>
                <c:ptCount val="1"/>
                <c:pt idx="0">
                  <c:v/>
                </c:pt>
              </c:strCache>
            </c:strRef>
          </c:tx>
          <c:spPr>
            <a:ln w="28440" cap="rnd" cmpd="sng" algn="ctr">
              <a:solidFill>
                <a:srgbClr val="B3C992"/>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TLS'!$J$15:$J$502</c:f>
              <c:numCache>
                <c:formatCode>General</c:formatCode>
                <c:ptCount val="488"/>
              </c:numCache>
            </c:numRef>
          </c:val>
          <c:smooth val="1"/>
        </c:ser>
        <c:ser>
          <c:idx val="10"/>
          <c:order val="10"/>
          <c:tx>
            <c:strRef>
              <c:f>'SAMIR_ex_blé TLS'!$K$14</c:f>
              <c:strCache>
                <c:ptCount val="1"/>
                <c:pt idx="0">
                  <c:v/>
                </c:pt>
              </c:strCache>
            </c:strRef>
          </c:tx>
          <c:spPr>
            <a:ln w="28440" cap="rnd" cmpd="sng" algn="ctr">
              <a:solidFill>
                <a:srgbClr val="A596B9"/>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TLS'!$K$15:$K$502</c:f>
              <c:numCache>
                <c:formatCode>General</c:formatCode>
                <c:ptCount val="488"/>
              </c:numCache>
            </c:numRef>
          </c:val>
          <c:smooth val="1"/>
        </c:ser>
        <c:dLbls>
          <c:showLegendKey val="0"/>
          <c:showVal val="0"/>
          <c:showCatName val="0"/>
          <c:showSerName val="0"/>
          <c:showPercent val="0"/>
          <c:showBubbleSize val="1"/>
        </c:dLbls>
        <c:hiLowLines>
          <c:spPr>
            <a:ln w="6350" cap="flat" cmpd="sng" algn="ctr">
              <a:noFill/>
              <a:prstDash val="solid"/>
              <a:round/>
            </a:ln>
          </c:spPr>
        </c:hiLowLines>
        <c:marker val="0"/>
        <c:smooth val="1"/>
        <c:axId val="20396578"/>
        <c:axId val="83951919"/>
      </c:lineChart>
      <c:dateAx>
        <c:axId val="63470579"/>
        <c:scaling>
          <c:orientation val="minMax"/>
        </c:scaling>
        <c:delete val="1"/>
        <c:axPos val="b"/>
        <c:numFmt formatCode="m/d/yyyy" sourceLinked="1"/>
        <c:majorTickMark val="out"/>
        <c:minorTickMark val="none"/>
        <c:tickLblPos val="none"/>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84563543"/>
        <c:crosses val="autoZero"/>
        <c:auto val="1"/>
        <c:lblOffset val="100"/>
        <c:baseTimeUnit val="days"/>
      </c:dateAx>
      <c:valAx>
        <c:axId val="84563543"/>
        <c:scaling>
          <c:orientation val="minMax"/>
        </c:scaling>
        <c:delete val="0"/>
        <c:axPos val="r"/>
        <c:numFmt formatCode="0.000" sourceLinked="0"/>
        <c:majorTickMark val="out"/>
        <c:minorTickMark val="none"/>
        <c:tickLblPos val="nextTo"/>
        <c:spPr>
          <a:ln w="9360" cap="flat" cmpd="sng" algn="ctr">
            <a:solidFill>
              <a:srgbClr val="878787"/>
            </a:solidFill>
            <a:prstDash val="solid"/>
            <a:round/>
          </a:ln>
        </c:spPr>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63470579"/>
        <c:crosses val="max"/>
        <c:crossBetween val="midCat"/>
      </c:valAx>
      <c:dateAx>
        <c:axId val="20396578"/>
        <c:scaling>
          <c:orientation val="minMax"/>
        </c:scaling>
        <c:delete val="0"/>
        <c:axPos val="b"/>
        <c:numFmt formatCode="m/d/yyyy" sourceLinked="1"/>
        <c:majorTickMark val="out"/>
        <c:minorTickMark val="none"/>
        <c:tickLblPos val="nextTo"/>
        <c:spPr>
          <a:ln w="9360" cap="flat" cmpd="sng" algn="ctr">
            <a:solidFill>
              <a:srgbClr val="878787"/>
            </a:solidFill>
            <a:prstDash val="solid"/>
            <a:round/>
          </a:ln>
        </c:spPr>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83951919"/>
        <c:crosses val="autoZero"/>
        <c:auto val="1"/>
        <c:lblOffset val="100"/>
        <c:baseTimeUnit val="days"/>
      </c:dateAx>
      <c:valAx>
        <c:axId val="83951919"/>
        <c:scaling>
          <c:orientation val="minMax"/>
          <c:max val="8"/>
          <c:min val="0"/>
        </c:scaling>
        <c:delete val="0"/>
        <c:axPos val="l"/>
        <c:numFmt formatCode="General" sourceLinked="0"/>
        <c:majorTickMark val="out"/>
        <c:minorTickMark val="none"/>
        <c:tickLblPos val="nextTo"/>
        <c:spPr>
          <a:ln w="9360" cap="flat" cmpd="sng" algn="ctr">
            <a:solidFill>
              <a:srgbClr val="878787"/>
            </a:solidFill>
            <a:prstDash val="solid"/>
            <a:round/>
          </a:ln>
        </c:spPr>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20396578"/>
        <c:crosses val="autoZero"/>
        <c:crossBetween val="midCat"/>
      </c:valAx>
      <c:spPr>
        <a:solidFill>
          <a:srgbClr val="FFFFFF"/>
        </a:solidFill>
        <a:ln>
          <a:noFill/>
        </a:ln>
      </c:spPr>
    </c:plotArea>
    <c:legend>
      <c:legendPos val="r"/>
      <c:layout>
        <c:manualLayout>
          <c:xMode val="edge"/>
          <c:yMode val="edge"/>
          <c:x val="0.935944949886446"/>
          <c:y val="0.0611624005714882"/>
        </c:manualLayout>
      </c:layout>
      <c:overlay val="0"/>
      <c:spPr>
        <a:noFill/>
        <a:ln>
          <a:noFill/>
        </a:ln>
      </c:spPr>
      <c:txPr>
        <a:bodyPr rot="0" spcFirstLastPara="0" vertOverflow="ellipsis" vert="horz" wrap="square" anchor="ctr" anchorCtr="1"/>
        <a:lstStyle/>
        <a:p>
          <a:pPr>
            <a:defRPr lang="en-US" sz="1000" b="0" i="0" u="none" strike="noStrike" kern="1200" baseline="0">
              <a:solidFill>
                <a:schemeClr val="tx1"/>
              </a:solidFill>
              <a:latin typeface="+mn-lt"/>
              <a:ea typeface="+mn-ea"/>
              <a:cs typeface="+mn-cs"/>
            </a:defRPr>
          </a:pPr>
        </a:p>
      </c:txPr>
    </c:legend>
    <c:plotVisOnly val="1"/>
    <c:dispBlanksAs val="gap"/>
    <c:showDLblsOverMax val="0"/>
  </c:chart>
  <c:spPr>
    <a:solidFill>
      <a:srgbClr val="FFFFFF"/>
    </a:solidFill>
    <a:ln w="6350" cap="flat" cmpd="sng" algn="ctr">
      <a:noFill/>
      <a:prstDash val="solid"/>
      <a:round/>
    </a:ln>
  </c:spPr>
  <c:txPr>
    <a:bodyPr/>
    <a:lstStyle/>
    <a:p>
      <a:pPr>
        <a:defRPr lang="en-US"/>
      </a:pP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0333308774773447"/>
          <c:y val="0.0511904761904762"/>
          <c:w val="0.865600825167612"/>
          <c:h val="0.778125"/>
        </c:manualLayout>
      </c:layout>
      <c:barChart>
        <c:barDir val="col"/>
        <c:grouping val="clustered"/>
        <c:varyColors val="0"/>
        <c:ser>
          <c:idx val="0"/>
          <c:order val="0"/>
          <c:tx>
            <c:strRef>
              <c:f>'SAMIR_ex_blé TLS'!$C$14</c:f>
              <c:strCache>
                <c:ptCount val="1"/>
                <c:pt idx="0">
                  <c:v>Pluie</c:v>
                </c:pt>
              </c:strCache>
            </c:strRef>
          </c:tx>
          <c:spPr>
            <a:solidFill>
              <a:srgbClr val="725990"/>
            </a:solidFill>
            <a:ln>
              <a:noFill/>
            </a:ln>
          </c:spPr>
          <c:invertIfNegative val="0"/>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outEnd"/>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TLS'!$C$15:$C$502</c:f>
              <c:numCache>
                <c:formatCode>0.000</c:formatCode>
                <c:ptCount val="488"/>
                <c:pt idx="0">
                  <c:v>0</c:v>
                </c:pt>
                <c:pt idx="1">
                  <c:v>0.99</c:v>
                </c:pt>
                <c:pt idx="2">
                  <c:v>0.99</c:v>
                </c:pt>
                <c:pt idx="3">
                  <c:v>0.198</c:v>
                </c:pt>
                <c:pt idx="4">
                  <c:v>0</c:v>
                </c:pt>
                <c:pt idx="5">
                  <c:v>0.396</c:v>
                </c:pt>
                <c:pt idx="6">
                  <c:v>0</c:v>
                </c:pt>
                <c:pt idx="7">
                  <c:v>0</c:v>
                </c:pt>
                <c:pt idx="8">
                  <c:v>0.198</c:v>
                </c:pt>
                <c:pt idx="9">
                  <c:v>0.198</c:v>
                </c:pt>
                <c:pt idx="10">
                  <c:v>0</c:v>
                </c:pt>
                <c:pt idx="11">
                  <c:v>0.198</c:v>
                </c:pt>
                <c:pt idx="12">
                  <c:v>0.198</c:v>
                </c:pt>
                <c:pt idx="13">
                  <c:v>0.396</c:v>
                </c:pt>
                <c:pt idx="14">
                  <c:v>0.594</c:v>
                </c:pt>
                <c:pt idx="15">
                  <c:v>0</c:v>
                </c:pt>
                <c:pt idx="16">
                  <c:v>0</c:v>
                </c:pt>
                <c:pt idx="17">
                  <c:v>0</c:v>
                </c:pt>
                <c:pt idx="18">
                  <c:v>0</c:v>
                </c:pt>
                <c:pt idx="19">
                  <c:v>0.198</c:v>
                </c:pt>
                <c:pt idx="20">
                  <c:v>0</c:v>
                </c:pt>
                <c:pt idx="21">
                  <c:v>0</c:v>
                </c:pt>
                <c:pt idx="22">
                  <c:v>0</c:v>
                </c:pt>
                <c:pt idx="23">
                  <c:v>0.396</c:v>
                </c:pt>
                <c:pt idx="24">
                  <c:v>2.97</c:v>
                </c:pt>
                <c:pt idx="25">
                  <c:v>2.574</c:v>
                </c:pt>
                <c:pt idx="26">
                  <c:v>0</c:v>
                </c:pt>
                <c:pt idx="27">
                  <c:v>0.198</c:v>
                </c:pt>
                <c:pt idx="28">
                  <c:v>0.198</c:v>
                </c:pt>
                <c:pt idx="29">
                  <c:v>0</c:v>
                </c:pt>
                <c:pt idx="30">
                  <c:v>2.178</c:v>
                </c:pt>
                <c:pt idx="31">
                  <c:v>0.198</c:v>
                </c:pt>
                <c:pt idx="32">
                  <c:v>2.772</c:v>
                </c:pt>
                <c:pt idx="33">
                  <c:v>0.198</c:v>
                </c:pt>
                <c:pt idx="34">
                  <c:v>13.464</c:v>
                </c:pt>
                <c:pt idx="35">
                  <c:v>12.276</c:v>
                </c:pt>
                <c:pt idx="36">
                  <c:v>0.792</c:v>
                </c:pt>
                <c:pt idx="37">
                  <c:v>0.198</c:v>
                </c:pt>
                <c:pt idx="38">
                  <c:v>0</c:v>
                </c:pt>
                <c:pt idx="39">
                  <c:v>0</c:v>
                </c:pt>
                <c:pt idx="40">
                  <c:v>0</c:v>
                </c:pt>
                <c:pt idx="41">
                  <c:v>0.198</c:v>
                </c:pt>
                <c:pt idx="42">
                  <c:v>0.99</c:v>
                </c:pt>
                <c:pt idx="43">
                  <c:v>0.396</c:v>
                </c:pt>
                <c:pt idx="44">
                  <c:v>0.198</c:v>
                </c:pt>
                <c:pt idx="45">
                  <c:v>0</c:v>
                </c:pt>
                <c:pt idx="46">
                  <c:v>0.99</c:v>
                </c:pt>
                <c:pt idx="47">
                  <c:v>0.198</c:v>
                </c:pt>
                <c:pt idx="48">
                  <c:v>0</c:v>
                </c:pt>
                <c:pt idx="49">
                  <c:v>13.464</c:v>
                </c:pt>
                <c:pt idx="50">
                  <c:v>1.782</c:v>
                </c:pt>
                <c:pt idx="51">
                  <c:v>11.484</c:v>
                </c:pt>
                <c:pt idx="52">
                  <c:v>0.99</c:v>
                </c:pt>
                <c:pt idx="53">
                  <c:v>0.396</c:v>
                </c:pt>
                <c:pt idx="54">
                  <c:v>0</c:v>
                </c:pt>
                <c:pt idx="55">
                  <c:v>0.198</c:v>
                </c:pt>
                <c:pt idx="56">
                  <c:v>0</c:v>
                </c:pt>
                <c:pt idx="57">
                  <c:v>0.198</c:v>
                </c:pt>
                <c:pt idx="58">
                  <c:v>0</c:v>
                </c:pt>
                <c:pt idx="59">
                  <c:v>0.198</c:v>
                </c:pt>
                <c:pt idx="60">
                  <c:v>0.396</c:v>
                </c:pt>
                <c:pt idx="61">
                  <c:v>0.792</c:v>
                </c:pt>
                <c:pt idx="62">
                  <c:v>0</c:v>
                </c:pt>
                <c:pt idx="63">
                  <c:v>0.198</c:v>
                </c:pt>
                <c:pt idx="64">
                  <c:v>0</c:v>
                </c:pt>
                <c:pt idx="65">
                  <c:v>0</c:v>
                </c:pt>
                <c:pt idx="66">
                  <c:v>0.198</c:v>
                </c:pt>
                <c:pt idx="67">
                  <c:v>0</c:v>
                </c:pt>
                <c:pt idx="68">
                  <c:v>0</c:v>
                </c:pt>
                <c:pt idx="69">
                  <c:v>0</c:v>
                </c:pt>
                <c:pt idx="70">
                  <c:v>0</c:v>
                </c:pt>
                <c:pt idx="71">
                  <c:v>0.198</c:v>
                </c:pt>
                <c:pt idx="72">
                  <c:v>0</c:v>
                </c:pt>
                <c:pt idx="73">
                  <c:v>0</c:v>
                </c:pt>
                <c:pt idx="74">
                  <c:v>0</c:v>
                </c:pt>
                <c:pt idx="75">
                  <c:v>3.168</c:v>
                </c:pt>
                <c:pt idx="76">
                  <c:v>4.95</c:v>
                </c:pt>
                <c:pt idx="77">
                  <c:v>0</c:v>
                </c:pt>
                <c:pt idx="78">
                  <c:v>2.772</c:v>
                </c:pt>
                <c:pt idx="79">
                  <c:v>0.792</c:v>
                </c:pt>
                <c:pt idx="80">
                  <c:v>0</c:v>
                </c:pt>
                <c:pt idx="81">
                  <c:v>0.396</c:v>
                </c:pt>
                <c:pt idx="82">
                  <c:v>1.386</c:v>
                </c:pt>
                <c:pt idx="83">
                  <c:v>0.198</c:v>
                </c:pt>
                <c:pt idx="84">
                  <c:v>0</c:v>
                </c:pt>
                <c:pt idx="85">
                  <c:v>0</c:v>
                </c:pt>
                <c:pt idx="86">
                  <c:v>0</c:v>
                </c:pt>
                <c:pt idx="87">
                  <c:v>0.198</c:v>
                </c:pt>
                <c:pt idx="88">
                  <c:v>0</c:v>
                </c:pt>
                <c:pt idx="89">
                  <c:v>0</c:v>
                </c:pt>
                <c:pt idx="90">
                  <c:v>0</c:v>
                </c:pt>
                <c:pt idx="91">
                  <c:v>0</c:v>
                </c:pt>
                <c:pt idx="92">
                  <c:v>0</c:v>
                </c:pt>
                <c:pt idx="93">
                  <c:v>0</c:v>
                </c:pt>
                <c:pt idx="94">
                  <c:v>0</c:v>
                </c:pt>
                <c:pt idx="95">
                  <c:v>0.792</c:v>
                </c:pt>
                <c:pt idx="96">
                  <c:v>1.98</c:v>
                </c:pt>
                <c:pt idx="97">
                  <c:v>6.336</c:v>
                </c:pt>
                <c:pt idx="98">
                  <c:v>0.198</c:v>
                </c:pt>
                <c:pt idx="99">
                  <c:v>0</c:v>
                </c:pt>
                <c:pt idx="100">
                  <c:v>0</c:v>
                </c:pt>
                <c:pt idx="101">
                  <c:v>0</c:v>
                </c:pt>
                <c:pt idx="102">
                  <c:v>0</c:v>
                </c:pt>
                <c:pt idx="103">
                  <c:v>0</c:v>
                </c:pt>
                <c:pt idx="104">
                  <c:v>0.198</c:v>
                </c:pt>
                <c:pt idx="105">
                  <c:v>0.198</c:v>
                </c:pt>
                <c:pt idx="106">
                  <c:v>0</c:v>
                </c:pt>
                <c:pt idx="107">
                  <c:v>0</c:v>
                </c:pt>
                <c:pt idx="108">
                  <c:v>0</c:v>
                </c:pt>
                <c:pt idx="109">
                  <c:v>0.198</c:v>
                </c:pt>
                <c:pt idx="110">
                  <c:v>1.584</c:v>
                </c:pt>
                <c:pt idx="111">
                  <c:v>3.762</c:v>
                </c:pt>
                <c:pt idx="112">
                  <c:v>0.198</c:v>
                </c:pt>
                <c:pt idx="113">
                  <c:v>4.95</c:v>
                </c:pt>
                <c:pt idx="114">
                  <c:v>1.98</c:v>
                </c:pt>
                <c:pt idx="115">
                  <c:v>8.91</c:v>
                </c:pt>
                <c:pt idx="116">
                  <c:v>2.772</c:v>
                </c:pt>
                <c:pt idx="117">
                  <c:v>10.89</c:v>
                </c:pt>
                <c:pt idx="118">
                  <c:v>2.574</c:v>
                </c:pt>
                <c:pt idx="119">
                  <c:v>0.198</c:v>
                </c:pt>
                <c:pt idx="120">
                  <c:v>0.198</c:v>
                </c:pt>
                <c:pt idx="121">
                  <c:v>0</c:v>
                </c:pt>
                <c:pt idx="122">
                  <c:v>0</c:v>
                </c:pt>
                <c:pt idx="123">
                  <c:v>6.93</c:v>
                </c:pt>
                <c:pt idx="124">
                  <c:v>0</c:v>
                </c:pt>
                <c:pt idx="125">
                  <c:v>0.198</c:v>
                </c:pt>
                <c:pt idx="126">
                  <c:v>0</c:v>
                </c:pt>
                <c:pt idx="127">
                  <c:v>0.198</c:v>
                </c:pt>
                <c:pt idx="128">
                  <c:v>0.198</c:v>
                </c:pt>
                <c:pt idx="129">
                  <c:v>4.752</c:v>
                </c:pt>
                <c:pt idx="130">
                  <c:v>20.196</c:v>
                </c:pt>
                <c:pt idx="131">
                  <c:v>11.484</c:v>
                </c:pt>
                <c:pt idx="132">
                  <c:v>0</c:v>
                </c:pt>
                <c:pt idx="133">
                  <c:v>1.188</c:v>
                </c:pt>
                <c:pt idx="134">
                  <c:v>0</c:v>
                </c:pt>
                <c:pt idx="135">
                  <c:v>0</c:v>
                </c:pt>
                <c:pt idx="136">
                  <c:v>0.594</c:v>
                </c:pt>
                <c:pt idx="137">
                  <c:v>0.198</c:v>
                </c:pt>
                <c:pt idx="138">
                  <c:v>0</c:v>
                </c:pt>
                <c:pt idx="139">
                  <c:v>1.584</c:v>
                </c:pt>
                <c:pt idx="140">
                  <c:v>9.504</c:v>
                </c:pt>
                <c:pt idx="141">
                  <c:v>1.584</c:v>
                </c:pt>
                <c:pt idx="142">
                  <c:v>0</c:v>
                </c:pt>
                <c:pt idx="143">
                  <c:v>0</c:v>
                </c:pt>
                <c:pt idx="144">
                  <c:v>0</c:v>
                </c:pt>
                <c:pt idx="145">
                  <c:v>0</c:v>
                </c:pt>
                <c:pt idx="146">
                  <c:v>0.198</c:v>
                </c:pt>
                <c:pt idx="147">
                  <c:v>0</c:v>
                </c:pt>
                <c:pt idx="148">
                  <c:v>0</c:v>
                </c:pt>
                <c:pt idx="149">
                  <c:v>0</c:v>
                </c:pt>
                <c:pt idx="150">
                  <c:v>0</c:v>
                </c:pt>
                <c:pt idx="151">
                  <c:v>0.396</c:v>
                </c:pt>
                <c:pt idx="152">
                  <c:v>14.256</c:v>
                </c:pt>
                <c:pt idx="153">
                  <c:v>2.376</c:v>
                </c:pt>
                <c:pt idx="154">
                  <c:v>0.99</c:v>
                </c:pt>
                <c:pt idx="155">
                  <c:v>0</c:v>
                </c:pt>
                <c:pt idx="156">
                  <c:v>5.742</c:v>
                </c:pt>
                <c:pt idx="157">
                  <c:v>0.99</c:v>
                </c:pt>
                <c:pt idx="158">
                  <c:v>5.544</c:v>
                </c:pt>
                <c:pt idx="159">
                  <c:v>0.198</c:v>
                </c:pt>
                <c:pt idx="160">
                  <c:v>0</c:v>
                </c:pt>
                <c:pt idx="161">
                  <c:v>0.396</c:v>
                </c:pt>
                <c:pt idx="162">
                  <c:v>4.356</c:v>
                </c:pt>
                <c:pt idx="163">
                  <c:v>2.178</c:v>
                </c:pt>
                <c:pt idx="164">
                  <c:v>5.148</c:v>
                </c:pt>
                <c:pt idx="165">
                  <c:v>0.198</c:v>
                </c:pt>
                <c:pt idx="166">
                  <c:v>0</c:v>
                </c:pt>
                <c:pt idx="167">
                  <c:v>1.782</c:v>
                </c:pt>
                <c:pt idx="168">
                  <c:v>1.782</c:v>
                </c:pt>
                <c:pt idx="169">
                  <c:v>0.198</c:v>
                </c:pt>
                <c:pt idx="170">
                  <c:v>0</c:v>
                </c:pt>
                <c:pt idx="171">
                  <c:v>0</c:v>
                </c:pt>
                <c:pt idx="172">
                  <c:v>0</c:v>
                </c:pt>
                <c:pt idx="173">
                  <c:v>0</c:v>
                </c:pt>
                <c:pt idx="174">
                  <c:v>0</c:v>
                </c:pt>
                <c:pt idx="175">
                  <c:v>0</c:v>
                </c:pt>
                <c:pt idx="176">
                  <c:v>6.336</c:v>
                </c:pt>
                <c:pt idx="177">
                  <c:v>5.346</c:v>
                </c:pt>
                <c:pt idx="178">
                  <c:v>1.386</c:v>
                </c:pt>
                <c:pt idx="179">
                  <c:v>0</c:v>
                </c:pt>
                <c:pt idx="180">
                  <c:v>11.678</c:v>
                </c:pt>
                <c:pt idx="181">
                  <c:v>0</c:v>
                </c:pt>
                <c:pt idx="182">
                  <c:v>0</c:v>
                </c:pt>
                <c:pt idx="183">
                  <c:v>0.198</c:v>
                </c:pt>
                <c:pt idx="184">
                  <c:v>0</c:v>
                </c:pt>
                <c:pt idx="185">
                  <c:v>0</c:v>
                </c:pt>
                <c:pt idx="186">
                  <c:v>0</c:v>
                </c:pt>
                <c:pt idx="187">
                  <c:v>0</c:v>
                </c:pt>
                <c:pt idx="188">
                  <c:v>0</c:v>
                </c:pt>
                <c:pt idx="189">
                  <c:v>0</c:v>
                </c:pt>
                <c:pt idx="190">
                  <c:v>0</c:v>
                </c:pt>
                <c:pt idx="191">
                  <c:v>0</c:v>
                </c:pt>
                <c:pt idx="192">
                  <c:v>0</c:v>
                </c:pt>
                <c:pt idx="193">
                  <c:v>0</c:v>
                </c:pt>
                <c:pt idx="194">
                  <c:v>18.02</c:v>
                </c:pt>
                <c:pt idx="195">
                  <c:v>31.284</c:v>
                </c:pt>
                <c:pt idx="196">
                  <c:v>13.662</c:v>
                </c:pt>
                <c:pt idx="197">
                  <c:v>1.584</c:v>
                </c:pt>
                <c:pt idx="198">
                  <c:v>10.692</c:v>
                </c:pt>
                <c:pt idx="199">
                  <c:v>2.574</c:v>
                </c:pt>
                <c:pt idx="200">
                  <c:v>2.97</c:v>
                </c:pt>
                <c:pt idx="201">
                  <c:v>0</c:v>
                </c:pt>
                <c:pt idx="202">
                  <c:v>0</c:v>
                </c:pt>
                <c:pt idx="203">
                  <c:v>0</c:v>
                </c:pt>
                <c:pt idx="204">
                  <c:v>0</c:v>
                </c:pt>
                <c:pt idx="205">
                  <c:v>0</c:v>
                </c:pt>
                <c:pt idx="206">
                  <c:v>0</c:v>
                </c:pt>
                <c:pt idx="207">
                  <c:v>2.178</c:v>
                </c:pt>
                <c:pt idx="208">
                  <c:v>17.226</c:v>
                </c:pt>
                <c:pt idx="209">
                  <c:v>0</c:v>
                </c:pt>
                <c:pt idx="210">
                  <c:v>1.188</c:v>
                </c:pt>
                <c:pt idx="211">
                  <c:v>0.594</c:v>
                </c:pt>
                <c:pt idx="212">
                  <c:v>0</c:v>
                </c:pt>
                <c:pt idx="213">
                  <c:v>9.108</c:v>
                </c:pt>
                <c:pt idx="214">
                  <c:v>0.198</c:v>
                </c:pt>
                <c:pt idx="215">
                  <c:v>0</c:v>
                </c:pt>
                <c:pt idx="216">
                  <c:v>0.198</c:v>
                </c:pt>
                <c:pt idx="217">
                  <c:v>0</c:v>
                </c:pt>
                <c:pt idx="218">
                  <c:v>0</c:v>
                </c:pt>
                <c:pt idx="219">
                  <c:v>21.58</c:v>
                </c:pt>
                <c:pt idx="220">
                  <c:v>34.452</c:v>
                </c:pt>
                <c:pt idx="221">
                  <c:v>5.148</c:v>
                </c:pt>
                <c:pt idx="222">
                  <c:v>11.682</c:v>
                </c:pt>
                <c:pt idx="223">
                  <c:v>0</c:v>
                </c:pt>
                <c:pt idx="224">
                  <c:v>4.158</c:v>
                </c:pt>
                <c:pt idx="225">
                  <c:v>1.584</c:v>
                </c:pt>
                <c:pt idx="226">
                  <c:v>3.168</c:v>
                </c:pt>
                <c:pt idx="227">
                  <c:v>0</c:v>
                </c:pt>
                <c:pt idx="228">
                  <c:v>1.188</c:v>
                </c:pt>
                <c:pt idx="229">
                  <c:v>12.474</c:v>
                </c:pt>
                <c:pt idx="230">
                  <c:v>0</c:v>
                </c:pt>
                <c:pt idx="231">
                  <c:v>0.594</c:v>
                </c:pt>
                <c:pt idx="232">
                  <c:v>0.198</c:v>
                </c:pt>
                <c:pt idx="233">
                  <c:v>0</c:v>
                </c:pt>
                <c:pt idx="234">
                  <c:v>0</c:v>
                </c:pt>
                <c:pt idx="235">
                  <c:v>2.772</c:v>
                </c:pt>
                <c:pt idx="236">
                  <c:v>0.198</c:v>
                </c:pt>
                <c:pt idx="237">
                  <c:v>0</c:v>
                </c:pt>
                <c:pt idx="238">
                  <c:v>0</c:v>
                </c:pt>
                <c:pt idx="239">
                  <c:v>4.158</c:v>
                </c:pt>
                <c:pt idx="240">
                  <c:v>13.666</c:v>
                </c:pt>
                <c:pt idx="241">
                  <c:v>5.346</c:v>
                </c:pt>
                <c:pt idx="242">
                  <c:v>0</c:v>
                </c:pt>
                <c:pt idx="243">
                  <c:v>0</c:v>
                </c:pt>
                <c:pt idx="244">
                  <c:v>0</c:v>
                </c:pt>
                <c:pt idx="245">
                  <c:v>5.544</c:v>
                </c:pt>
                <c:pt idx="246">
                  <c:v>6.336</c:v>
                </c:pt>
                <c:pt idx="247">
                  <c:v>0</c:v>
                </c:pt>
                <c:pt idx="248">
                  <c:v>0</c:v>
                </c:pt>
                <c:pt idx="249">
                  <c:v>0.198</c:v>
                </c:pt>
                <c:pt idx="250">
                  <c:v>0.99</c:v>
                </c:pt>
                <c:pt idx="251">
                  <c:v>0.396</c:v>
                </c:pt>
                <c:pt idx="252">
                  <c:v>0</c:v>
                </c:pt>
                <c:pt idx="253">
                  <c:v>0</c:v>
                </c:pt>
                <c:pt idx="254">
                  <c:v>0</c:v>
                </c:pt>
                <c:pt idx="255">
                  <c:v>0</c:v>
                </c:pt>
                <c:pt idx="256">
                  <c:v>0.396</c:v>
                </c:pt>
                <c:pt idx="257">
                  <c:v>0</c:v>
                </c:pt>
                <c:pt idx="258">
                  <c:v>2.376</c:v>
                </c:pt>
                <c:pt idx="259">
                  <c:v>1.188</c:v>
                </c:pt>
                <c:pt idx="260">
                  <c:v>0</c:v>
                </c:pt>
                <c:pt idx="261">
                  <c:v>0</c:v>
                </c:pt>
                <c:pt idx="262">
                  <c:v>0</c:v>
                </c:pt>
                <c:pt idx="263">
                  <c:v>1.188</c:v>
                </c:pt>
                <c:pt idx="264">
                  <c:v>3.564</c:v>
                </c:pt>
                <c:pt idx="265">
                  <c:v>4.158</c:v>
                </c:pt>
                <c:pt idx="266">
                  <c:v>2.574</c:v>
                </c:pt>
                <c:pt idx="267">
                  <c:v>0.198</c:v>
                </c:pt>
                <c:pt idx="268">
                  <c:v>0</c:v>
                </c:pt>
                <c:pt idx="269">
                  <c:v>0</c:v>
                </c:pt>
                <c:pt idx="270">
                  <c:v>0</c:v>
                </c:pt>
              </c:numCache>
            </c:numRef>
          </c:val>
        </c:ser>
        <c:dLbls>
          <c:showLegendKey val="0"/>
          <c:showVal val="0"/>
          <c:showCatName val="0"/>
          <c:showSerName val="0"/>
          <c:showPercent val="0"/>
          <c:showBubbleSize val="1"/>
        </c:dLbls>
        <c:gapWidth val="200"/>
        <c:overlap val="0"/>
        <c:axId val="85611210"/>
        <c:axId val="88214716"/>
      </c:barChart>
      <c:lineChart>
        <c:grouping val="standard"/>
        <c:varyColors val="0"/>
        <c:ser>
          <c:idx val="1"/>
          <c:order val="1"/>
          <c:tx>
            <c:strRef>
              <c:f>'SAMIR_ex_blé TLS'!$AN$14</c:f>
              <c:strCache>
                <c:ptCount val="1"/>
                <c:pt idx="0">
                  <c:v>Hvol1</c:v>
                </c:pt>
              </c:strCache>
            </c:strRef>
          </c:tx>
          <c:spPr>
            <a:ln w="28440" cap="rnd" cmpd="sng" algn="ctr">
              <a:solidFill>
                <a:srgbClr val="FF0000"/>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TLS'!$AN$15:$AN$502</c:f>
              <c:numCache>
                <c:formatCode>0.00</c:formatCode>
                <c:ptCount val="488"/>
                <c:pt idx="0">
                  <c:v>0.373572509715126</c:v>
                </c:pt>
                <c:pt idx="1">
                  <c:v>0.375980679092983</c:v>
                </c:pt>
                <c:pt idx="2">
                  <c:v>0.378821861358897</c:v>
                </c:pt>
                <c:pt idx="3">
                  <c:v>0.377959743356939</c:v>
                </c:pt>
                <c:pt idx="4">
                  <c:v>0.376251359731515</c:v>
                </c:pt>
                <c:pt idx="5">
                  <c:v>0.376272661199597</c:v>
                </c:pt>
                <c:pt idx="6">
                  <c:v>0.374462822733626</c:v>
                </c:pt>
                <c:pt idx="7">
                  <c:v>0.372980493610717</c:v>
                </c:pt>
                <c:pt idx="8">
                  <c:v>0.372089093800285</c:v>
                </c:pt>
                <c:pt idx="9">
                  <c:v>0.371488088620149</c:v>
                </c:pt>
                <c:pt idx="10">
                  <c:v>0.369976679793487</c:v>
                </c:pt>
                <c:pt idx="11">
                  <c:v>0.369367653259687</c:v>
                </c:pt>
                <c:pt idx="12">
                  <c:v>0.368792156008893</c:v>
                </c:pt>
                <c:pt idx="13">
                  <c:v>0.368997645783886</c:v>
                </c:pt>
                <c:pt idx="14">
                  <c:v>0.369884783212217</c:v>
                </c:pt>
                <c:pt idx="15">
                  <c:v>0.368195984087604</c:v>
                </c:pt>
                <c:pt idx="16">
                  <c:v>0.366395673938196</c:v>
                </c:pt>
                <c:pt idx="17">
                  <c:v>0.364899502222897</c:v>
                </c:pt>
                <c:pt idx="18">
                  <c:v>0.363482687786195</c:v>
                </c:pt>
                <c:pt idx="19">
                  <c:v>0.362928644783078</c:v>
                </c:pt>
                <c:pt idx="20">
                  <c:v>0.361215432586938</c:v>
                </c:pt>
                <c:pt idx="21">
                  <c:v>0.359708106795542</c:v>
                </c:pt>
                <c:pt idx="22">
                  <c:v>0.358756177075613</c:v>
                </c:pt>
                <c:pt idx="23">
                  <c:v>0.359250718551096</c:v>
                </c:pt>
                <c:pt idx="24">
                  <c:v>0.370206022447634</c:v>
                </c:pt>
                <c:pt idx="25">
                  <c:v>0.37912296324749</c:v>
                </c:pt>
                <c:pt idx="26">
                  <c:v>0.37793636135361</c:v>
                </c:pt>
                <c:pt idx="27">
                  <c:v>0.377731837362767</c:v>
                </c:pt>
                <c:pt idx="28">
                  <c:v>0.376381417912564</c:v>
                </c:pt>
                <c:pt idx="29">
                  <c:v>0.373713342572886</c:v>
                </c:pt>
                <c:pt idx="30">
                  <c:v>0.38101321102097</c:v>
                </c:pt>
                <c:pt idx="31">
                  <c:v>0.380453843163918</c:v>
                </c:pt>
                <c:pt idx="32">
                  <c:v>0.390052206797824</c:v>
                </c:pt>
                <c:pt idx="33">
                  <c:v>0.38972837017817</c:v>
                </c:pt>
                <c:pt idx="34">
                  <c:v>0.398523223320916</c:v>
                </c:pt>
                <c:pt idx="35">
                  <c:v>0.399209736299438</c:v>
                </c:pt>
                <c:pt idx="36">
                  <c:v>0.398265390076009</c:v>
                </c:pt>
                <c:pt idx="37">
                  <c:v>0.397430498836186</c:v>
                </c:pt>
                <c:pt idx="38">
                  <c:v>0.395283756038558</c:v>
                </c:pt>
                <c:pt idx="39">
                  <c:v>0.394176640793779</c:v>
                </c:pt>
                <c:pt idx="40">
                  <c:v>0.392785215654357</c:v>
                </c:pt>
                <c:pt idx="41">
                  <c:v>0.392496141072651</c:v>
                </c:pt>
                <c:pt idx="42">
                  <c:v>0.395501379482999</c:v>
                </c:pt>
                <c:pt idx="43">
                  <c:v>0.396554029562782</c:v>
                </c:pt>
                <c:pt idx="44">
                  <c:v>0.396275209500078</c:v>
                </c:pt>
                <c:pt idx="45">
                  <c:v>0.395578082956112</c:v>
                </c:pt>
                <c:pt idx="46">
                  <c:v>0.398761214636693</c:v>
                </c:pt>
                <c:pt idx="47">
                  <c:v>0.398272638404821</c:v>
                </c:pt>
                <c:pt idx="48">
                  <c:v>0.397119013303096</c:v>
                </c:pt>
                <c:pt idx="49">
                  <c:v>0.398876000945887</c:v>
                </c:pt>
                <c:pt idx="50">
                  <c:v>0.399270706649517</c:v>
                </c:pt>
                <c:pt idx="51">
                  <c:v>0.398690301286664</c:v>
                </c:pt>
                <c:pt idx="52">
                  <c:v>0.399111111885598</c:v>
                </c:pt>
                <c:pt idx="53">
                  <c:v>0.399372852861862</c:v>
                </c:pt>
                <c:pt idx="54">
                  <c:v>0.39884055425157</c:v>
                </c:pt>
                <c:pt idx="55">
                  <c:v>0.398968519689892</c:v>
                </c:pt>
                <c:pt idx="56">
                  <c:v>0.398363349295601</c:v>
                </c:pt>
                <c:pt idx="57">
                  <c:v>0.398696653823068</c:v>
                </c:pt>
                <c:pt idx="58">
                  <c:v>0.397626530869138</c:v>
                </c:pt>
                <c:pt idx="59">
                  <c:v>0.397690471508543</c:v>
                </c:pt>
                <c:pt idx="60">
                  <c:v>0.398524089344207</c:v>
                </c:pt>
                <c:pt idx="61">
                  <c:v>0.399469888597396</c:v>
                </c:pt>
                <c:pt idx="62">
                  <c:v>0.39887579978008</c:v>
                </c:pt>
                <c:pt idx="63">
                  <c:v>0.399374263366667</c:v>
                </c:pt>
                <c:pt idx="64">
                  <c:v>0.399004326957494</c:v>
                </c:pt>
                <c:pt idx="65">
                  <c:v>0.398440959490706</c:v>
                </c:pt>
                <c:pt idx="66">
                  <c:v>0.398892616926987</c:v>
                </c:pt>
                <c:pt idx="67">
                  <c:v>0.39841993014515</c:v>
                </c:pt>
                <c:pt idx="68">
                  <c:v>0.397942722883203</c:v>
                </c:pt>
                <c:pt idx="69">
                  <c:v>0.397527192027088</c:v>
                </c:pt>
                <c:pt idx="70">
                  <c:v>0.397057458119312</c:v>
                </c:pt>
                <c:pt idx="71">
                  <c:v>0.397280397862286</c:v>
                </c:pt>
                <c:pt idx="72">
                  <c:v>0.396563999774887</c:v>
                </c:pt>
                <c:pt idx="73">
                  <c:v>0.39476747645584</c:v>
                </c:pt>
                <c:pt idx="74">
                  <c:v>0.393886638335525</c:v>
                </c:pt>
                <c:pt idx="75">
                  <c:v>0.399085174878319</c:v>
                </c:pt>
                <c:pt idx="76">
                  <c:v>0.398482777894838</c:v>
                </c:pt>
                <c:pt idx="77">
                  <c:v>0.397740299797777</c:v>
                </c:pt>
                <c:pt idx="78">
                  <c:v>0.398266292780667</c:v>
                </c:pt>
                <c:pt idx="79">
                  <c:v>0.399071842196522</c:v>
                </c:pt>
                <c:pt idx="80">
                  <c:v>0.398225010410152</c:v>
                </c:pt>
                <c:pt idx="81">
                  <c:v>0.398947045874268</c:v>
                </c:pt>
                <c:pt idx="82">
                  <c:v>0.398724014975832</c:v>
                </c:pt>
                <c:pt idx="83">
                  <c:v>0.398550048546887</c:v>
                </c:pt>
                <c:pt idx="84">
                  <c:v>0.397389393931649</c:v>
                </c:pt>
                <c:pt idx="85">
                  <c:v>0.396016017229646</c:v>
                </c:pt>
                <c:pt idx="86">
                  <c:v>0.394949160190848</c:v>
                </c:pt>
                <c:pt idx="87">
                  <c:v>0.395032545955802</c:v>
                </c:pt>
                <c:pt idx="88">
                  <c:v>0.393833168209915</c:v>
                </c:pt>
                <c:pt idx="89">
                  <c:v>0.392763717078888</c:v>
                </c:pt>
                <c:pt idx="90">
                  <c:v>0.391754380743553</c:v>
                </c:pt>
                <c:pt idx="91">
                  <c:v>0.390681751693924</c:v>
                </c:pt>
                <c:pt idx="92">
                  <c:v>0.387975171882179</c:v>
                </c:pt>
                <c:pt idx="93">
                  <c:v>0.386529992082002</c:v>
                </c:pt>
                <c:pt idx="94">
                  <c:v>0.385423958924798</c:v>
                </c:pt>
                <c:pt idx="95">
                  <c:v>0.387287414905064</c:v>
                </c:pt>
                <c:pt idx="96">
                  <c:v>0.393707215293138</c:v>
                </c:pt>
                <c:pt idx="97">
                  <c:v>0.399042258827927</c:v>
                </c:pt>
                <c:pt idx="98">
                  <c:v>0.398537183542682</c:v>
                </c:pt>
                <c:pt idx="99">
                  <c:v>0.396981745975571</c:v>
                </c:pt>
                <c:pt idx="100">
                  <c:v>0.395955349439044</c:v>
                </c:pt>
                <c:pt idx="101">
                  <c:v>0.394817356510625</c:v>
                </c:pt>
                <c:pt idx="102">
                  <c:v>0.39424778432892</c:v>
                </c:pt>
                <c:pt idx="103">
                  <c:v>0.393711316391313</c:v>
                </c:pt>
                <c:pt idx="104">
                  <c:v>0.393683931718053</c:v>
                </c:pt>
                <c:pt idx="105">
                  <c:v>0.393647347586727</c:v>
                </c:pt>
                <c:pt idx="106">
                  <c:v>0.392890177152123</c:v>
                </c:pt>
                <c:pt idx="107">
                  <c:v>0.391985420239032</c:v>
                </c:pt>
                <c:pt idx="108">
                  <c:v>0.390764962639293</c:v>
                </c:pt>
                <c:pt idx="109">
                  <c:v>0.39015413411619</c:v>
                </c:pt>
                <c:pt idx="110">
                  <c:v>0.394887918270157</c:v>
                </c:pt>
                <c:pt idx="111">
                  <c:v>0.399008396431049</c:v>
                </c:pt>
                <c:pt idx="112">
                  <c:v>0.397708216953024</c:v>
                </c:pt>
                <c:pt idx="113">
                  <c:v>0.398721019645594</c:v>
                </c:pt>
                <c:pt idx="114">
                  <c:v>0.397716020111817</c:v>
                </c:pt>
                <c:pt idx="115">
                  <c:v>0.39812555638307</c:v>
                </c:pt>
                <c:pt idx="116">
                  <c:v>0.397952809320654</c:v>
                </c:pt>
                <c:pt idx="117">
                  <c:v>0.397840330941412</c:v>
                </c:pt>
                <c:pt idx="118">
                  <c:v>0.397511954955617</c:v>
                </c:pt>
                <c:pt idx="119">
                  <c:v>0.395478368619723</c:v>
                </c:pt>
                <c:pt idx="120">
                  <c:v>0.392948846040614</c:v>
                </c:pt>
                <c:pt idx="121">
                  <c:v>0.389162642043112</c:v>
                </c:pt>
                <c:pt idx="122">
                  <c:v>0.386627365293528</c:v>
                </c:pt>
                <c:pt idx="123">
                  <c:v>0.398720287790811</c:v>
                </c:pt>
                <c:pt idx="124">
                  <c:v>0.396204951797775</c:v>
                </c:pt>
                <c:pt idx="125">
                  <c:v>0.394894782022351</c:v>
                </c:pt>
                <c:pt idx="126">
                  <c:v>0.393481682601475</c:v>
                </c:pt>
                <c:pt idx="127">
                  <c:v>0.392776533199198</c:v>
                </c:pt>
                <c:pt idx="128">
                  <c:v>0.390391198191081</c:v>
                </c:pt>
                <c:pt idx="129">
                  <c:v>0.39802658957415</c:v>
                </c:pt>
                <c:pt idx="130">
                  <c:v>0.397818740168314</c:v>
                </c:pt>
                <c:pt idx="131">
                  <c:v>0.397797882172846</c:v>
                </c:pt>
                <c:pt idx="132">
                  <c:v>0.395493829455298</c:v>
                </c:pt>
                <c:pt idx="133">
                  <c:v>0.39704070110322</c:v>
                </c:pt>
                <c:pt idx="134">
                  <c:v>0.393467488877307</c:v>
                </c:pt>
                <c:pt idx="135">
                  <c:v>0.390669789822051</c:v>
                </c:pt>
                <c:pt idx="136">
                  <c:v>0.390828312640661</c:v>
                </c:pt>
                <c:pt idx="137">
                  <c:v>0.387377178810625</c:v>
                </c:pt>
                <c:pt idx="138">
                  <c:v>0.383786053502912</c:v>
                </c:pt>
                <c:pt idx="139">
                  <c:v>0.387384394380643</c:v>
                </c:pt>
                <c:pt idx="140">
                  <c:v>0.39713904150454</c:v>
                </c:pt>
                <c:pt idx="141">
                  <c:v>0.396145243841034</c:v>
                </c:pt>
                <c:pt idx="142">
                  <c:v>0.393097814844885</c:v>
                </c:pt>
                <c:pt idx="143">
                  <c:v>0.388360161587471</c:v>
                </c:pt>
                <c:pt idx="144">
                  <c:v>0.38359253682042</c:v>
                </c:pt>
                <c:pt idx="145">
                  <c:v>0.379124638239546</c:v>
                </c:pt>
                <c:pt idx="146">
                  <c:v>0.375401803202839</c:v>
                </c:pt>
                <c:pt idx="147">
                  <c:v>0.371329312729495</c:v>
                </c:pt>
                <c:pt idx="148">
                  <c:v>0.366774687720045</c:v>
                </c:pt>
                <c:pt idx="149">
                  <c:v>0.362977022896556</c:v>
                </c:pt>
                <c:pt idx="150">
                  <c:v>0.358262968584033</c:v>
                </c:pt>
                <c:pt idx="151">
                  <c:v>0.357768188488143</c:v>
                </c:pt>
                <c:pt idx="152">
                  <c:v>0.396925511325476</c:v>
                </c:pt>
                <c:pt idx="153">
                  <c:v>0.396917830767969</c:v>
                </c:pt>
                <c:pt idx="154">
                  <c:v>0.397269192751141</c:v>
                </c:pt>
                <c:pt idx="155">
                  <c:v>0.393712849816578</c:v>
                </c:pt>
                <c:pt idx="156">
                  <c:v>0.397076918480381</c:v>
                </c:pt>
                <c:pt idx="157">
                  <c:v>0.397048303527905</c:v>
                </c:pt>
                <c:pt idx="158">
                  <c:v>0.39805871709593</c:v>
                </c:pt>
                <c:pt idx="159">
                  <c:v>0.394117404668909</c:v>
                </c:pt>
                <c:pt idx="160">
                  <c:v>0.387786445527741</c:v>
                </c:pt>
                <c:pt idx="161">
                  <c:v>0.386645595206935</c:v>
                </c:pt>
                <c:pt idx="162">
                  <c:v>0.394786442090347</c:v>
                </c:pt>
                <c:pt idx="163">
                  <c:v>0.39666671931253</c:v>
                </c:pt>
                <c:pt idx="164">
                  <c:v>0.39711079463516</c:v>
                </c:pt>
                <c:pt idx="165">
                  <c:v>0.393168254109915</c:v>
                </c:pt>
                <c:pt idx="166">
                  <c:v>0.386835786480558</c:v>
                </c:pt>
                <c:pt idx="167">
                  <c:v>0.389377566775305</c:v>
                </c:pt>
                <c:pt idx="168">
                  <c:v>0.392184310853008</c:v>
                </c:pt>
                <c:pt idx="169">
                  <c:v>0.388130514414807</c:v>
                </c:pt>
                <c:pt idx="170">
                  <c:v>0.380601482577362</c:v>
                </c:pt>
                <c:pt idx="171">
                  <c:v>0.370534251541664</c:v>
                </c:pt>
                <c:pt idx="172">
                  <c:v>0.357419508907726</c:v>
                </c:pt>
                <c:pt idx="173">
                  <c:v>0.363335697632474</c:v>
                </c:pt>
                <c:pt idx="174">
                  <c:v>0.35821825473046</c:v>
                </c:pt>
                <c:pt idx="175">
                  <c:v>0.353365741370102</c:v>
                </c:pt>
                <c:pt idx="176">
                  <c:v>0.374088670759456</c:v>
                </c:pt>
                <c:pt idx="177">
                  <c:v>0.391264830003855</c:v>
                </c:pt>
                <c:pt idx="178">
                  <c:v>0.392839112661356</c:v>
                </c:pt>
                <c:pt idx="179">
                  <c:v>0.389919226514105</c:v>
                </c:pt>
                <c:pt idx="180">
                  <c:v>0.397607628972808</c:v>
                </c:pt>
                <c:pt idx="181">
                  <c:v>0.392208593859301</c:v>
                </c:pt>
                <c:pt idx="182">
                  <c:v>0.38670606715628</c:v>
                </c:pt>
                <c:pt idx="183">
                  <c:v>0.380268324340412</c:v>
                </c:pt>
                <c:pt idx="184">
                  <c:v>0.372727713938215</c:v>
                </c:pt>
                <c:pt idx="185">
                  <c:v>0.364924904861778</c:v>
                </c:pt>
                <c:pt idx="186">
                  <c:v>0.357392133635608</c:v>
                </c:pt>
                <c:pt idx="187">
                  <c:v>0.348793310187503</c:v>
                </c:pt>
                <c:pt idx="188">
                  <c:v>0.339980552622894</c:v>
                </c:pt>
                <c:pt idx="189">
                  <c:v>0.335946157067036</c:v>
                </c:pt>
                <c:pt idx="190">
                  <c:v>0.329292995972862</c:v>
                </c:pt>
                <c:pt idx="191">
                  <c:v>0.322611837364879</c:v>
                </c:pt>
                <c:pt idx="192">
                  <c:v>0.315651303339018</c:v>
                </c:pt>
                <c:pt idx="193">
                  <c:v>0.31008546382106</c:v>
                </c:pt>
                <c:pt idx="194">
                  <c:v>0.368721402547727</c:v>
                </c:pt>
                <c:pt idx="195">
                  <c:v>0.398747100579423</c:v>
                </c:pt>
                <c:pt idx="196">
                  <c:v>0.395508745779541</c:v>
                </c:pt>
                <c:pt idx="197">
                  <c:v>0.395699669938485</c:v>
                </c:pt>
                <c:pt idx="198">
                  <c:v>0.396087233630953</c:v>
                </c:pt>
                <c:pt idx="199">
                  <c:v>0.396386770587377</c:v>
                </c:pt>
                <c:pt idx="200">
                  <c:v>0.394694612302652</c:v>
                </c:pt>
                <c:pt idx="201">
                  <c:v>0.391688445268738</c:v>
                </c:pt>
                <c:pt idx="202">
                  <c:v>0.387311502517174</c:v>
                </c:pt>
                <c:pt idx="203">
                  <c:v>0.380569112828188</c:v>
                </c:pt>
                <c:pt idx="204">
                  <c:v>0.372504976403138</c:v>
                </c:pt>
                <c:pt idx="205">
                  <c:v>0.365298687939555</c:v>
                </c:pt>
                <c:pt idx="206">
                  <c:v>0.357610427286341</c:v>
                </c:pt>
                <c:pt idx="207">
                  <c:v>0.359088392192606</c:v>
                </c:pt>
                <c:pt idx="208">
                  <c:v>0.396174401401407</c:v>
                </c:pt>
                <c:pt idx="209">
                  <c:v>0.389545939368118</c:v>
                </c:pt>
                <c:pt idx="210">
                  <c:v>0.390106877135997</c:v>
                </c:pt>
                <c:pt idx="211">
                  <c:v>0.389653578697961</c:v>
                </c:pt>
                <c:pt idx="212">
                  <c:v>0.384765499133118</c:v>
                </c:pt>
                <c:pt idx="213">
                  <c:v>0.397090609222722</c:v>
                </c:pt>
                <c:pt idx="214">
                  <c:v>0.393630766411727</c:v>
                </c:pt>
                <c:pt idx="215">
                  <c:v>0.387250837348617</c:v>
                </c:pt>
                <c:pt idx="216">
                  <c:v>0.381747190298951</c:v>
                </c:pt>
                <c:pt idx="217">
                  <c:v>0.373367462718707</c:v>
                </c:pt>
                <c:pt idx="218">
                  <c:v>0.365130620179258</c:v>
                </c:pt>
                <c:pt idx="219">
                  <c:v>0.396484641676483</c:v>
                </c:pt>
                <c:pt idx="220">
                  <c:v>0.398599705705911</c:v>
                </c:pt>
                <c:pt idx="221">
                  <c:v>0.395044396897349</c:v>
                </c:pt>
                <c:pt idx="222">
                  <c:v>0.396792577773205</c:v>
                </c:pt>
                <c:pt idx="223">
                  <c:v>0.392927753351478</c:v>
                </c:pt>
                <c:pt idx="224">
                  <c:v>0.393811140345217</c:v>
                </c:pt>
                <c:pt idx="225">
                  <c:v>0.396866311919058</c:v>
                </c:pt>
                <c:pt idx="226">
                  <c:v>0.395764495538427</c:v>
                </c:pt>
                <c:pt idx="227">
                  <c:v>0.391356850477851</c:v>
                </c:pt>
                <c:pt idx="228">
                  <c:v>0.390565586848378</c:v>
                </c:pt>
                <c:pt idx="229">
                  <c:v>0.398352300529703</c:v>
                </c:pt>
                <c:pt idx="230">
                  <c:v>0.394080113766572</c:v>
                </c:pt>
                <c:pt idx="231">
                  <c:v>0.393095759102495</c:v>
                </c:pt>
                <c:pt idx="232">
                  <c:v>0.38851708468169</c:v>
                </c:pt>
                <c:pt idx="233">
                  <c:v>0.382909013749864</c:v>
                </c:pt>
                <c:pt idx="234">
                  <c:v>0.376863309872205</c:v>
                </c:pt>
                <c:pt idx="235">
                  <c:v>0.382686305220971</c:v>
                </c:pt>
                <c:pt idx="236">
                  <c:v>0.379420937291562</c:v>
                </c:pt>
                <c:pt idx="237">
                  <c:v>0.373637196131884</c:v>
                </c:pt>
                <c:pt idx="238">
                  <c:v>0.368751194883868</c:v>
                </c:pt>
                <c:pt idx="239">
                  <c:v>0.381062782224027</c:v>
                </c:pt>
                <c:pt idx="240">
                  <c:v>0.396074170745867</c:v>
                </c:pt>
                <c:pt idx="241">
                  <c:v>0.395509560319298</c:v>
                </c:pt>
                <c:pt idx="242">
                  <c:v>0.392745515386781</c:v>
                </c:pt>
                <c:pt idx="243">
                  <c:v>0.388391820105024</c:v>
                </c:pt>
                <c:pt idx="244">
                  <c:v>0.384411348233139</c:v>
                </c:pt>
                <c:pt idx="245">
                  <c:v>0.395583556960945</c:v>
                </c:pt>
                <c:pt idx="246">
                  <c:v>0.397251255205127</c:v>
                </c:pt>
                <c:pt idx="247">
                  <c:v>0.394511781978626</c:v>
                </c:pt>
                <c:pt idx="248">
                  <c:v>0.392226617011157</c:v>
                </c:pt>
                <c:pt idx="249">
                  <c:v>0.390147059153604</c:v>
                </c:pt>
                <c:pt idx="250">
                  <c:v>0.393124356302672</c:v>
                </c:pt>
                <c:pt idx="251">
                  <c:v>0.392800763721161</c:v>
                </c:pt>
                <c:pt idx="252">
                  <c:v>0.391172836225975</c:v>
                </c:pt>
                <c:pt idx="253">
                  <c:v>0.388906556077293</c:v>
                </c:pt>
                <c:pt idx="254">
                  <c:v>0.385458622324954</c:v>
                </c:pt>
                <c:pt idx="255">
                  <c:v>0.380245628898264</c:v>
                </c:pt>
                <c:pt idx="256">
                  <c:v>0.380330738837758</c:v>
                </c:pt>
                <c:pt idx="257">
                  <c:v>0.377180725693337</c:v>
                </c:pt>
                <c:pt idx="258">
                  <c:v>0.383156612107751</c:v>
                </c:pt>
                <c:pt idx="259">
                  <c:v>0.384269975201851</c:v>
                </c:pt>
                <c:pt idx="260">
                  <c:v>0.379611387681268</c:v>
                </c:pt>
                <c:pt idx="261">
                  <c:v>0.37412385729832</c:v>
                </c:pt>
                <c:pt idx="262">
                  <c:v>0.369303821951344</c:v>
                </c:pt>
                <c:pt idx="263">
                  <c:v>0.372749672495369</c:v>
                </c:pt>
                <c:pt idx="264">
                  <c:v>0.383709246580908</c:v>
                </c:pt>
                <c:pt idx="265">
                  <c:v>0.395827289045721</c:v>
                </c:pt>
                <c:pt idx="266">
                  <c:v>0.397107867643807</c:v>
                </c:pt>
                <c:pt idx="267">
                  <c:v>0.393127353097971</c:v>
                </c:pt>
                <c:pt idx="268">
                  <c:v>0.38726353141968</c:v>
                </c:pt>
                <c:pt idx="269">
                  <c:v>0.382716377586138</c:v>
                </c:pt>
                <c:pt idx="270">
                  <c:v>0.377025998668741</c:v>
                </c:pt>
              </c:numCache>
            </c:numRef>
          </c:val>
          <c:smooth val="0"/>
        </c:ser>
        <c:ser>
          <c:idx val="2"/>
          <c:order val="2"/>
          <c:tx>
            <c:strRef>
              <c:f>'SAMIR_ex_blé TLS'!$AO$14</c:f>
              <c:strCache>
                <c:ptCount val="1"/>
                <c:pt idx="0">
                  <c:v>Hvol2</c:v>
                </c:pt>
              </c:strCache>
            </c:strRef>
          </c:tx>
          <c:spPr>
            <a:ln w="28440" cap="rnd" cmpd="sng" algn="ctr">
              <a:solidFill>
                <a:srgbClr val="33CC33"/>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TLS'!$AO$15:$AO$502</c:f>
              <c:numCache>
                <c:formatCode>0.00</c:formatCode>
                <c:ptCount val="488"/>
                <c:pt idx="0">
                  <c:v>0.347276025971806</c:v>
                </c:pt>
                <c:pt idx="1">
                  <c:v>0.35071864883949</c:v>
                </c:pt>
                <c:pt idx="2">
                  <c:v>0.354725184339794</c:v>
                </c:pt>
                <c:pt idx="3">
                  <c:v>0.353668266937714</c:v>
                </c:pt>
                <c:pt idx="4">
                  <c:v>0.351439504315143</c:v>
                </c:pt>
                <c:pt idx="5">
                  <c:v>0.351592149165668</c:v>
                </c:pt>
                <c:pt idx="6">
                  <c:v>0.349229798657676</c:v>
                </c:pt>
                <c:pt idx="7">
                  <c:v>0.347293843557914</c:v>
                </c:pt>
                <c:pt idx="8">
                  <c:v>0.346190540896018</c:v>
                </c:pt>
                <c:pt idx="9">
                  <c:v>0.345466073501532</c:v>
                </c:pt>
                <c:pt idx="10">
                  <c:v>0.343482934416063</c:v>
                </c:pt>
                <c:pt idx="11">
                  <c:v>0.342743715541059</c:v>
                </c:pt>
                <c:pt idx="12">
                  <c:v>0.342048151794098</c:v>
                </c:pt>
                <c:pt idx="13">
                  <c:v>0.342822409190851</c:v>
                </c:pt>
                <c:pt idx="14">
                  <c:v>0.344355614570892</c:v>
                </c:pt>
                <c:pt idx="15">
                  <c:v>0.342671218185336</c:v>
                </c:pt>
                <c:pt idx="16">
                  <c:v>0.340634594956661</c:v>
                </c:pt>
                <c:pt idx="17">
                  <c:v>0.338948220051577</c:v>
                </c:pt>
                <c:pt idx="18">
                  <c:v>0.337349010551144</c:v>
                </c:pt>
                <c:pt idx="19">
                  <c:v>0.337061514143227</c:v>
                </c:pt>
                <c:pt idx="20">
                  <c:v>0.335466698040237</c:v>
                </c:pt>
                <c:pt idx="21">
                  <c:v>0.334191874820051</c:v>
                </c:pt>
                <c:pt idx="22">
                  <c:v>0.333510574420578</c:v>
                </c:pt>
                <c:pt idx="23">
                  <c:v>0.334399516611235</c:v>
                </c:pt>
                <c:pt idx="24">
                  <c:v>0.346216777928791</c:v>
                </c:pt>
                <c:pt idx="25">
                  <c:v>0.355421866130321</c:v>
                </c:pt>
                <c:pt idx="26">
                  <c:v>0.354051888566435</c:v>
                </c:pt>
                <c:pt idx="27">
                  <c:v>0.353708933918303</c:v>
                </c:pt>
                <c:pt idx="28">
                  <c:v>0.352161139080909</c:v>
                </c:pt>
                <c:pt idx="29">
                  <c:v>0.349413740204317</c:v>
                </c:pt>
                <c:pt idx="30">
                  <c:v>0.355992068710236</c:v>
                </c:pt>
                <c:pt idx="31">
                  <c:v>0.355223037924043</c:v>
                </c:pt>
                <c:pt idx="32">
                  <c:v>0.363304760472348</c:v>
                </c:pt>
                <c:pt idx="33">
                  <c:v>0.362607921657832</c:v>
                </c:pt>
                <c:pt idx="34">
                  <c:v>0.398395372593036</c:v>
                </c:pt>
                <c:pt idx="35">
                  <c:v>0.399151228001876</c:v>
                </c:pt>
                <c:pt idx="36">
                  <c:v>0.398156090716465</c:v>
                </c:pt>
                <c:pt idx="37">
                  <c:v>0.397043099171083</c:v>
                </c:pt>
                <c:pt idx="38">
                  <c:v>0.394758945593057</c:v>
                </c:pt>
                <c:pt idx="39">
                  <c:v>0.393589264484248</c:v>
                </c:pt>
                <c:pt idx="40">
                  <c:v>0.392131410659858</c:v>
                </c:pt>
                <c:pt idx="41">
                  <c:v>0.391623172364773</c:v>
                </c:pt>
                <c:pt idx="42">
                  <c:v>0.393697841353202</c:v>
                </c:pt>
                <c:pt idx="43">
                  <c:v>0.394369110100542</c:v>
                </c:pt>
                <c:pt idx="44">
                  <c:v>0.393873050468666</c:v>
                </c:pt>
                <c:pt idx="45">
                  <c:v>0.393166249405573</c:v>
                </c:pt>
                <c:pt idx="46">
                  <c:v>0.395363855765828</c:v>
                </c:pt>
                <c:pt idx="47">
                  <c:v>0.394658997946815</c:v>
                </c:pt>
                <c:pt idx="48">
                  <c:v>0.393495637073267</c:v>
                </c:pt>
                <c:pt idx="49">
                  <c:v>0.39884752073492</c:v>
                </c:pt>
                <c:pt idx="50">
                  <c:v>0.399254721347206</c:v>
                </c:pt>
                <c:pt idx="51">
                  <c:v>0.398664917638274</c:v>
                </c:pt>
                <c:pt idx="52">
                  <c:v>0.399096119626913</c:v>
                </c:pt>
                <c:pt idx="53">
                  <c:v>0.39936383854422</c:v>
                </c:pt>
                <c:pt idx="54">
                  <c:v>0.398828012350488</c:v>
                </c:pt>
                <c:pt idx="55">
                  <c:v>0.398730792246397</c:v>
                </c:pt>
                <c:pt idx="56">
                  <c:v>0.39813034354117</c:v>
                </c:pt>
                <c:pt idx="57">
                  <c:v>0.398239825980348</c:v>
                </c:pt>
                <c:pt idx="58">
                  <c:v>0.397177397922746</c:v>
                </c:pt>
                <c:pt idx="59">
                  <c:v>0.397019258999144</c:v>
                </c:pt>
                <c:pt idx="60">
                  <c:v>0.397392661380163</c:v>
                </c:pt>
                <c:pt idx="61">
                  <c:v>0.399016269439982</c:v>
                </c:pt>
                <c:pt idx="62">
                  <c:v>0.398433130632043</c:v>
                </c:pt>
                <c:pt idx="63">
                  <c:v>0.398693790748139</c:v>
                </c:pt>
                <c:pt idx="64">
                  <c:v>0.398336154399941</c:v>
                </c:pt>
                <c:pt idx="65">
                  <c:v>0.39779073163038</c:v>
                </c:pt>
                <c:pt idx="66">
                  <c:v>0.398005781951116</c:v>
                </c:pt>
                <c:pt idx="67">
                  <c:v>0.397553894006238</c:v>
                </c:pt>
                <c:pt idx="68">
                  <c:v>0.397100364845618</c:v>
                </c:pt>
                <c:pt idx="69">
                  <c:v>0.396709660082914</c:v>
                </c:pt>
                <c:pt idx="70">
                  <c:v>0.396268596219576</c:v>
                </c:pt>
                <c:pt idx="71">
                  <c:v>0.396261531062537</c:v>
                </c:pt>
                <c:pt idx="72">
                  <c:v>0.395586479700413</c:v>
                </c:pt>
                <c:pt idx="73">
                  <c:v>0.393871039418874</c:v>
                </c:pt>
                <c:pt idx="74">
                  <c:v>0.3930474793406</c:v>
                </c:pt>
                <c:pt idx="75">
                  <c:v>0.399120271570801</c:v>
                </c:pt>
                <c:pt idx="76">
                  <c:v>0.398544112333158</c:v>
                </c:pt>
                <c:pt idx="77">
                  <c:v>0.397840554257242</c:v>
                </c:pt>
                <c:pt idx="78">
                  <c:v>0.398344623850393</c:v>
                </c:pt>
                <c:pt idx="79">
                  <c:v>0.39911564861864</c:v>
                </c:pt>
                <c:pt idx="80">
                  <c:v>0.398313015528463</c:v>
                </c:pt>
                <c:pt idx="81">
                  <c:v>0.398496302229327</c:v>
                </c:pt>
                <c:pt idx="82">
                  <c:v>0.3987926944031</c:v>
                </c:pt>
                <c:pt idx="83">
                  <c:v>0.398377028677312</c:v>
                </c:pt>
                <c:pt idx="84">
                  <c:v>0.397288843265814</c:v>
                </c:pt>
                <c:pt idx="85">
                  <c:v>0.396004146636223</c:v>
                </c:pt>
                <c:pt idx="86">
                  <c:v>0.395013610567025</c:v>
                </c:pt>
                <c:pt idx="87">
                  <c:v>0.394857096681844</c:v>
                </c:pt>
                <c:pt idx="88">
                  <c:v>0.393750514881449</c:v>
                </c:pt>
                <c:pt idx="89">
                  <c:v>0.392770302149615</c:v>
                </c:pt>
                <c:pt idx="90">
                  <c:v>0.391850427348808</c:v>
                </c:pt>
                <c:pt idx="91">
                  <c:v>0.390874324752643</c:v>
                </c:pt>
                <c:pt idx="92">
                  <c:v>0.388374241522044</c:v>
                </c:pt>
                <c:pt idx="93">
                  <c:v>0.387055357946815</c:v>
                </c:pt>
                <c:pt idx="94">
                  <c:v>0.386061512592768</c:v>
                </c:pt>
                <c:pt idx="95">
                  <c:v>0.386758051976599</c:v>
                </c:pt>
                <c:pt idx="96">
                  <c:v>0.390077011930128</c:v>
                </c:pt>
                <c:pt idx="97">
                  <c:v>0.399122645610149</c:v>
                </c:pt>
                <c:pt idx="98">
                  <c:v>0.39839967183341</c:v>
                </c:pt>
                <c:pt idx="99">
                  <c:v>0.396984298295958</c:v>
                </c:pt>
                <c:pt idx="100">
                  <c:v>0.396056887514615</c:v>
                </c:pt>
                <c:pt idx="101">
                  <c:v>0.39503051264105</c:v>
                </c:pt>
                <c:pt idx="102">
                  <c:v>0.394528765789313</c:v>
                </c:pt>
                <c:pt idx="103">
                  <c:v>0.394067390583445</c:v>
                </c:pt>
                <c:pt idx="104">
                  <c:v>0.393790444187881</c:v>
                </c:pt>
                <c:pt idx="105">
                  <c:v>0.393506818616431</c:v>
                </c:pt>
                <c:pt idx="106">
                  <c:v>0.392844489698807</c:v>
                </c:pt>
                <c:pt idx="107">
                  <c:v>0.392050408058052</c:v>
                </c:pt>
                <c:pt idx="108">
                  <c:v>0.390982958249173</c:v>
                </c:pt>
                <c:pt idx="109">
                  <c:v>0.390183001128402</c:v>
                </c:pt>
                <c:pt idx="110">
                  <c:v>0.392285903328193</c:v>
                </c:pt>
                <c:pt idx="111">
                  <c:v>0.399117222999886</c:v>
                </c:pt>
                <c:pt idx="112">
                  <c:v>0.397695203258381</c:v>
                </c:pt>
                <c:pt idx="113">
                  <c:v>0.398866522655777</c:v>
                </c:pt>
                <c:pt idx="114">
                  <c:v>0.397979780036751</c:v>
                </c:pt>
                <c:pt idx="115">
                  <c:v>0.398345238836173</c:v>
                </c:pt>
                <c:pt idx="116">
                  <c:v>0.398196248553084</c:v>
                </c:pt>
                <c:pt idx="117">
                  <c:v>0.398100848056097</c:v>
                </c:pt>
                <c:pt idx="118">
                  <c:v>0.397817770975347</c:v>
                </c:pt>
                <c:pt idx="119">
                  <c:v>0.39576454531862</c:v>
                </c:pt>
                <c:pt idx="120">
                  <c:v>0.393276680358703</c:v>
                </c:pt>
                <c:pt idx="121">
                  <c:v>0.389948582412728</c:v>
                </c:pt>
                <c:pt idx="122">
                  <c:v>0.387722043733555</c:v>
                </c:pt>
                <c:pt idx="123">
                  <c:v>0.398888581838923</c:v>
                </c:pt>
                <c:pt idx="124">
                  <c:v>0.396707905691052</c:v>
                </c:pt>
                <c:pt idx="125">
                  <c:v>0.395300310038342</c:v>
                </c:pt>
                <c:pt idx="126">
                  <c:v>0.394083581271682</c:v>
                </c:pt>
                <c:pt idx="127">
                  <c:v>0.393206666298081</c:v>
                </c:pt>
                <c:pt idx="128">
                  <c:v>0.390870819011679</c:v>
                </c:pt>
                <c:pt idx="129">
                  <c:v>0.398309082330395</c:v>
                </c:pt>
                <c:pt idx="130">
                  <c:v>0.398134866275884</c:v>
                </c:pt>
                <c:pt idx="131">
                  <c:v>0.398120974280184</c:v>
                </c:pt>
                <c:pt idx="132">
                  <c:v>0.396153777567771</c:v>
                </c:pt>
                <c:pt idx="133">
                  <c:v>0.395980260182977</c:v>
                </c:pt>
                <c:pt idx="134">
                  <c:v>0.39297249794004</c:v>
                </c:pt>
                <c:pt idx="135">
                  <c:v>0.390608225705398</c:v>
                </c:pt>
                <c:pt idx="136">
                  <c:v>0.389935845733486</c:v>
                </c:pt>
                <c:pt idx="137">
                  <c:v>0.386758141921839</c:v>
                </c:pt>
                <c:pt idx="138">
                  <c:v>0.383722553191199</c:v>
                </c:pt>
                <c:pt idx="139">
                  <c:v>0.384608211057918</c:v>
                </c:pt>
                <c:pt idx="140">
                  <c:v>0.397611050997251</c:v>
                </c:pt>
                <c:pt idx="141">
                  <c:v>0.396789060125941</c:v>
                </c:pt>
                <c:pt idx="142">
                  <c:v>0.394238626466874</c:v>
                </c:pt>
                <c:pt idx="143">
                  <c:v>0.390248808365949</c:v>
                </c:pt>
                <c:pt idx="144">
                  <c:v>0.386211808614165</c:v>
                </c:pt>
                <c:pt idx="145">
                  <c:v>0.382384521636005</c:v>
                </c:pt>
                <c:pt idx="146">
                  <c:v>0.378878147416778</c:v>
                </c:pt>
                <c:pt idx="147">
                  <c:v>0.375346420111668</c:v>
                </c:pt>
                <c:pt idx="148">
                  <c:v>0.371353048749184</c:v>
                </c:pt>
                <c:pt idx="149">
                  <c:v>0.368004445563731</c:v>
                </c:pt>
                <c:pt idx="150">
                  <c:v>0.363826023106016</c:v>
                </c:pt>
                <c:pt idx="151">
                  <c:v>0.362780998320504</c:v>
                </c:pt>
                <c:pt idx="152">
                  <c:v>0.386344723826046</c:v>
                </c:pt>
                <c:pt idx="153">
                  <c:v>0.388325612392206</c:v>
                </c:pt>
                <c:pt idx="154">
                  <c:v>0.388079939825196</c:v>
                </c:pt>
                <c:pt idx="155">
                  <c:v>0.385439935100866</c:v>
                </c:pt>
                <c:pt idx="156">
                  <c:v>0.393455984745962</c:v>
                </c:pt>
                <c:pt idx="157">
                  <c:v>0.392974227668725</c:v>
                </c:pt>
                <c:pt idx="158">
                  <c:v>0.398482519119066</c:v>
                </c:pt>
                <c:pt idx="159">
                  <c:v>0.395160806257531</c:v>
                </c:pt>
                <c:pt idx="160">
                  <c:v>0.39021067563517</c:v>
                </c:pt>
                <c:pt idx="161">
                  <c:v>0.388803793201166</c:v>
                </c:pt>
                <c:pt idx="162">
                  <c:v>0.392561482024254</c:v>
                </c:pt>
                <c:pt idx="163">
                  <c:v>0.393919799082281</c:v>
                </c:pt>
                <c:pt idx="164">
                  <c:v>0.397860586518334</c:v>
                </c:pt>
                <c:pt idx="165">
                  <c:v>0.394759820383944</c:v>
                </c:pt>
                <c:pt idx="166">
                  <c:v>0.390140212444943</c:v>
                </c:pt>
                <c:pt idx="167">
                  <c:v>0.390082537726698</c:v>
                </c:pt>
                <c:pt idx="168">
                  <c:v>0.390348926018076</c:v>
                </c:pt>
                <c:pt idx="169">
                  <c:v>0.387562554529076</c:v>
                </c:pt>
                <c:pt idx="170">
                  <c:v>0.382868829571226</c:v>
                </c:pt>
                <c:pt idx="171">
                  <c:v>0.377289246657122</c:v>
                </c:pt>
                <c:pt idx="172">
                  <c:v>0.371509034522121</c:v>
                </c:pt>
                <c:pt idx="173">
                  <c:v>0.365948940611205</c:v>
                </c:pt>
                <c:pt idx="174">
                  <c:v>0.36020588661434</c:v>
                </c:pt>
                <c:pt idx="175">
                  <c:v>0.354789113454929</c:v>
                </c:pt>
                <c:pt idx="176">
                  <c:v>0.36144021885637</c:v>
                </c:pt>
                <c:pt idx="177">
                  <c:v>0.368799155317233</c:v>
                </c:pt>
                <c:pt idx="178">
                  <c:v>0.369266869586905</c:v>
                </c:pt>
                <c:pt idx="179">
                  <c:v>0.366690957760558</c:v>
                </c:pt>
                <c:pt idx="180">
                  <c:v>0.383963051116279</c:v>
                </c:pt>
                <c:pt idx="181">
                  <c:v>0.378699231100911</c:v>
                </c:pt>
                <c:pt idx="182">
                  <c:v>0.373356241399866</c:v>
                </c:pt>
                <c:pt idx="183">
                  <c:v>0.366737217373675</c:v>
                </c:pt>
                <c:pt idx="184">
                  <c:v>0.359515395389588</c:v>
                </c:pt>
                <c:pt idx="185">
                  <c:v>0.35209275271366</c:v>
                </c:pt>
                <c:pt idx="186">
                  <c:v>0.344980995994536</c:v>
                </c:pt>
                <c:pt idx="187">
                  <c:v>0.336926926685915</c:v>
                </c:pt>
                <c:pt idx="188">
                  <c:v>0.328755068333685</c:v>
                </c:pt>
                <c:pt idx="189">
                  <c:v>0.325057263989193</c:v>
                </c:pt>
                <c:pt idx="190">
                  <c:v>0.318993383264078</c:v>
                </c:pt>
                <c:pt idx="191">
                  <c:v>0.312966631575364</c:v>
                </c:pt>
                <c:pt idx="192">
                  <c:v>0.306760972935263</c:v>
                </c:pt>
                <c:pt idx="193">
                  <c:v>0.301868121983329</c:v>
                </c:pt>
                <c:pt idx="194">
                  <c:v>0.324729173926887</c:v>
                </c:pt>
                <c:pt idx="195">
                  <c:v>0.376129734923697</c:v>
                </c:pt>
                <c:pt idx="196">
                  <c:v>0.394201693395057</c:v>
                </c:pt>
                <c:pt idx="197">
                  <c:v>0.392280128027328</c:v>
                </c:pt>
                <c:pt idx="198">
                  <c:v>0.39572849044921</c:v>
                </c:pt>
                <c:pt idx="199">
                  <c:v>0.396055490543134</c:v>
                </c:pt>
                <c:pt idx="200">
                  <c:v>0.394208186208321</c:v>
                </c:pt>
                <c:pt idx="201">
                  <c:v>0.390939199857572</c:v>
                </c:pt>
                <c:pt idx="202">
                  <c:v>0.386190375752647</c:v>
                </c:pt>
                <c:pt idx="203">
                  <c:v>0.378900151669355</c:v>
                </c:pt>
                <c:pt idx="204">
                  <c:v>0.370229534805438</c:v>
                </c:pt>
                <c:pt idx="205">
                  <c:v>0.362537169850743</c:v>
                </c:pt>
                <c:pt idx="206">
                  <c:v>0.354387221338156</c:v>
                </c:pt>
                <c:pt idx="207">
                  <c:v>0.350977691695484</c:v>
                </c:pt>
                <c:pt idx="208">
                  <c:v>0.376371237177536</c:v>
                </c:pt>
                <c:pt idx="209">
                  <c:v>0.37027076883157</c:v>
                </c:pt>
                <c:pt idx="210">
                  <c:v>0.368579091569853</c:v>
                </c:pt>
                <c:pt idx="211">
                  <c:v>0.36710429892754</c:v>
                </c:pt>
                <c:pt idx="212">
                  <c:v>0.362773694936749</c:v>
                </c:pt>
                <c:pt idx="213">
                  <c:v>0.37542669083036</c:v>
                </c:pt>
                <c:pt idx="214">
                  <c:v>0.371933524549858</c:v>
                </c:pt>
                <c:pt idx="215">
                  <c:v>0.36619098790513</c:v>
                </c:pt>
                <c:pt idx="216">
                  <c:v>0.360916148526672</c:v>
                </c:pt>
                <c:pt idx="217">
                  <c:v>0.353473426971578</c:v>
                </c:pt>
                <c:pt idx="218">
                  <c:v>0.346211989391529</c:v>
                </c:pt>
                <c:pt idx="219">
                  <c:v>0.379127540320236</c:v>
                </c:pt>
                <c:pt idx="220">
                  <c:v>0.398471319295107</c:v>
                </c:pt>
                <c:pt idx="221">
                  <c:v>0.394590040910606</c:v>
                </c:pt>
                <c:pt idx="222">
                  <c:v>0.39649850428496</c:v>
                </c:pt>
                <c:pt idx="223">
                  <c:v>0.392289117876763</c:v>
                </c:pt>
                <c:pt idx="224">
                  <c:v>0.392552437237086</c:v>
                </c:pt>
                <c:pt idx="225">
                  <c:v>0.391917129788164</c:v>
                </c:pt>
                <c:pt idx="226">
                  <c:v>0.392710981360374</c:v>
                </c:pt>
                <c:pt idx="227">
                  <c:v>0.388016047768018</c:v>
                </c:pt>
                <c:pt idx="228">
                  <c:v>0.384341061496586</c:v>
                </c:pt>
                <c:pt idx="229">
                  <c:v>0.398201230699619</c:v>
                </c:pt>
                <c:pt idx="230">
                  <c:v>0.393542836537625</c:v>
                </c:pt>
                <c:pt idx="231">
                  <c:v>0.390974288075678</c:v>
                </c:pt>
                <c:pt idx="232">
                  <c:v>0.38558109539056</c:v>
                </c:pt>
                <c:pt idx="233">
                  <c:v>0.379610511411945</c:v>
                </c:pt>
                <c:pt idx="234">
                  <c:v>0.373203316575616</c:v>
                </c:pt>
                <c:pt idx="235">
                  <c:v>0.372801792931544</c:v>
                </c:pt>
                <c:pt idx="236">
                  <c:v>0.369122941225875</c:v>
                </c:pt>
                <c:pt idx="237">
                  <c:v>0.363403151525779</c:v>
                </c:pt>
                <c:pt idx="238">
                  <c:v>0.358595899239313</c:v>
                </c:pt>
                <c:pt idx="239">
                  <c:v>0.361944571522441</c:v>
                </c:pt>
                <c:pt idx="240">
                  <c:v>0.381103522609845</c:v>
                </c:pt>
                <c:pt idx="241">
                  <c:v>0.385551931768138</c:v>
                </c:pt>
                <c:pt idx="242">
                  <c:v>0.382773863282107</c:v>
                </c:pt>
                <c:pt idx="243">
                  <c:v>0.378407113483604</c:v>
                </c:pt>
                <c:pt idx="244">
                  <c:v>0.374428166982295</c:v>
                </c:pt>
                <c:pt idx="245">
                  <c:v>0.379518897068794</c:v>
                </c:pt>
                <c:pt idx="246">
                  <c:v>0.387384117698139</c:v>
                </c:pt>
                <c:pt idx="247">
                  <c:v>0.384625371352179</c:v>
                </c:pt>
                <c:pt idx="248">
                  <c:v>0.382328771623023</c:v>
                </c:pt>
                <c:pt idx="249">
                  <c:v>0.379804922964446</c:v>
                </c:pt>
                <c:pt idx="250">
                  <c:v>0.380576417400102</c:v>
                </c:pt>
                <c:pt idx="251">
                  <c:v>0.379412401050137</c:v>
                </c:pt>
                <c:pt idx="252">
                  <c:v>0.377828974346339</c:v>
                </c:pt>
                <c:pt idx="253">
                  <c:v>0.375627360062795</c:v>
                </c:pt>
                <c:pt idx="254">
                  <c:v>0.373484834367611</c:v>
                </c:pt>
                <c:pt idx="255">
                  <c:v>0.370263213880946</c:v>
                </c:pt>
                <c:pt idx="256">
                  <c:v>0.370004787537525</c:v>
                </c:pt>
                <c:pt idx="257">
                  <c:v>0.368005780696654</c:v>
                </c:pt>
                <c:pt idx="258">
                  <c:v>0.369921691003136</c:v>
                </c:pt>
                <c:pt idx="259">
                  <c:v>0.369728680750168</c:v>
                </c:pt>
                <c:pt idx="260">
                  <c:v>0.366809151827933</c:v>
                </c:pt>
                <c:pt idx="261">
                  <c:v>0.363301128505264</c:v>
                </c:pt>
                <c:pt idx="262">
                  <c:v>0.360276351902733</c:v>
                </c:pt>
                <c:pt idx="263">
                  <c:v>0.361510705926828</c:v>
                </c:pt>
                <c:pt idx="264">
                  <c:v>0.36570341536639</c:v>
                </c:pt>
                <c:pt idx="265">
                  <c:v>0.370335075439193</c:v>
                </c:pt>
                <c:pt idx="266">
                  <c:v>0.373015247640193</c:v>
                </c:pt>
                <c:pt idx="267">
                  <c:v>0.370635175550269</c:v>
                </c:pt>
                <c:pt idx="268">
                  <c:v>0.367246632735929</c:v>
                </c:pt>
                <c:pt idx="269">
                  <c:v>0.364572487340795</c:v>
                </c:pt>
                <c:pt idx="270">
                  <c:v>0.361181485296684</c:v>
                </c:pt>
              </c:numCache>
            </c:numRef>
          </c:val>
          <c:smooth val="0"/>
        </c:ser>
        <c:ser>
          <c:idx val="3"/>
          <c:order val="3"/>
          <c:tx>
            <c:strRef>
              <c:f>'SAMIR_ex_blé TLS'!$AP$14</c:f>
              <c:strCache>
                <c:ptCount val="1"/>
                <c:pt idx="0">
                  <c:v>Hvol3</c:v>
                </c:pt>
              </c:strCache>
            </c:strRef>
          </c:tx>
          <c:spPr>
            <a:ln w="28440" cap="rnd" cmpd="sng" algn="ctr">
              <a:solidFill>
                <a:srgbClr val="0070C0"/>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TLS'!$AP$15:$AP$502</c:f>
              <c:numCache>
                <c:formatCode>0.00</c:formatCode>
                <c:ptCount val="488"/>
                <c:pt idx="0">
                  <c:v>0.3493</c:v>
                </c:pt>
                <c:pt idx="1">
                  <c:v>0.349300000019445</c:v>
                </c:pt>
                <c:pt idx="2">
                  <c:v>0.349300000058939</c:v>
                </c:pt>
                <c:pt idx="3">
                  <c:v>0.349300000096781</c:v>
                </c:pt>
                <c:pt idx="4">
                  <c:v>0.349306375319879</c:v>
                </c:pt>
                <c:pt idx="5">
                  <c:v>0.349306375344801</c:v>
                </c:pt>
                <c:pt idx="6">
                  <c:v>0.349306375358094</c:v>
                </c:pt>
                <c:pt idx="7">
                  <c:v>0.349306375357648</c:v>
                </c:pt>
                <c:pt idx="8">
                  <c:v>0.349306375352203</c:v>
                </c:pt>
                <c:pt idx="9">
                  <c:v>0.349306375340342</c:v>
                </c:pt>
                <c:pt idx="10">
                  <c:v>0.349300778818211</c:v>
                </c:pt>
                <c:pt idx="11">
                  <c:v>0.349300778790698</c:v>
                </c:pt>
                <c:pt idx="12">
                  <c:v>0.349300778758893</c:v>
                </c:pt>
                <c:pt idx="13">
                  <c:v>0.349300778730236</c:v>
                </c:pt>
                <c:pt idx="14">
                  <c:v>0.349300778710418</c:v>
                </c:pt>
                <c:pt idx="15">
                  <c:v>0.349300778680944</c:v>
                </c:pt>
                <c:pt idx="16">
                  <c:v>0.349290390687758</c:v>
                </c:pt>
                <c:pt idx="17">
                  <c:v>0.349276848964084</c:v>
                </c:pt>
                <c:pt idx="18">
                  <c:v>0.349244632193849</c:v>
                </c:pt>
                <c:pt idx="19">
                  <c:v>0.349244632126478</c:v>
                </c:pt>
                <c:pt idx="20">
                  <c:v>0.349244632050589</c:v>
                </c:pt>
                <c:pt idx="21">
                  <c:v>0.349244631963707</c:v>
                </c:pt>
                <c:pt idx="22">
                  <c:v>0.349244631867219</c:v>
                </c:pt>
                <c:pt idx="23">
                  <c:v>0.34924463177605</c:v>
                </c:pt>
                <c:pt idx="24">
                  <c:v>0.349244631760699</c:v>
                </c:pt>
                <c:pt idx="25">
                  <c:v>0.349244631811446</c:v>
                </c:pt>
                <c:pt idx="26">
                  <c:v>0.349244631853315</c:v>
                </c:pt>
                <c:pt idx="27">
                  <c:v>0.349244631891765</c:v>
                </c:pt>
                <c:pt idx="28">
                  <c:v>0.349244631928193</c:v>
                </c:pt>
                <c:pt idx="29">
                  <c:v>0.349244631948967</c:v>
                </c:pt>
                <c:pt idx="30">
                  <c:v>0.349244632008487</c:v>
                </c:pt>
                <c:pt idx="31">
                  <c:v>0.349244632063913</c:v>
                </c:pt>
                <c:pt idx="32">
                  <c:v>0.349244632183023</c:v>
                </c:pt>
                <c:pt idx="33">
                  <c:v>0.349244632297709</c:v>
                </c:pt>
                <c:pt idx="34">
                  <c:v>0.355416594336771</c:v>
                </c:pt>
                <c:pt idx="35">
                  <c:v>0.393652737895197</c:v>
                </c:pt>
                <c:pt idx="36">
                  <c:v>0.395298145944222</c:v>
                </c:pt>
                <c:pt idx="37">
                  <c:v>0.395298145973933</c:v>
                </c:pt>
                <c:pt idx="38">
                  <c:v>0.395298145988955</c:v>
                </c:pt>
                <c:pt idx="39">
                  <c:v>0.395298145984282</c:v>
                </c:pt>
                <c:pt idx="40">
                  <c:v>0.395298145969372</c:v>
                </c:pt>
                <c:pt idx="41">
                  <c:v>0.39529814594679</c:v>
                </c:pt>
                <c:pt idx="42">
                  <c:v>0.395298145940696</c:v>
                </c:pt>
                <c:pt idx="43">
                  <c:v>0.39529814593702</c:v>
                </c:pt>
                <c:pt idx="44">
                  <c:v>0.395298145933981</c:v>
                </c:pt>
                <c:pt idx="45">
                  <c:v>0.395298145921089</c:v>
                </c:pt>
                <c:pt idx="46">
                  <c:v>0.39529814592824</c:v>
                </c:pt>
                <c:pt idx="47">
                  <c:v>0.395298145934173</c:v>
                </c:pt>
                <c:pt idx="48">
                  <c:v>0.395298145928257</c:v>
                </c:pt>
                <c:pt idx="49">
                  <c:v>0.4</c:v>
                </c:pt>
                <c:pt idx="50">
                  <c:v>0.4</c:v>
                </c:pt>
                <c:pt idx="51">
                  <c:v>0.4</c:v>
                </c:pt>
                <c:pt idx="52">
                  <c:v>0.4</c:v>
                </c:pt>
                <c:pt idx="53">
                  <c:v>0.4</c:v>
                </c:pt>
                <c:pt idx="54">
                  <c:v>0.399999999993838</c:v>
                </c:pt>
                <c:pt idx="55">
                  <c:v>0.399999999987811</c:v>
                </c:pt>
                <c:pt idx="56">
                  <c:v>0.399999999975324</c:v>
                </c:pt>
                <c:pt idx="57">
                  <c:v>0.399999999962197</c:v>
                </c:pt>
                <c:pt idx="58">
                  <c:v>0.399999999944586</c:v>
                </c:pt>
                <c:pt idx="59">
                  <c:v>0.399999999921593</c:v>
                </c:pt>
                <c:pt idx="60">
                  <c:v>0.399999999902266</c:v>
                </c:pt>
                <c:pt idx="61">
                  <c:v>0.399999999897539</c:v>
                </c:pt>
                <c:pt idx="62">
                  <c:v>0.399999999887361</c:v>
                </c:pt>
                <c:pt idx="63">
                  <c:v>0.39999999987655</c:v>
                </c:pt>
                <c:pt idx="64">
                  <c:v>0.399999999862821</c:v>
                </c:pt>
                <c:pt idx="65">
                  <c:v>0.399999999845191</c:v>
                </c:pt>
                <c:pt idx="66">
                  <c:v>0.399999999827153</c:v>
                </c:pt>
                <c:pt idx="67">
                  <c:v>0.399999999805619</c:v>
                </c:pt>
                <c:pt idx="68">
                  <c:v>0.399999999778987</c:v>
                </c:pt>
                <c:pt idx="69">
                  <c:v>0.399999999747154</c:v>
                </c:pt>
                <c:pt idx="70">
                  <c:v>0.399999999710729</c:v>
                </c:pt>
                <c:pt idx="71">
                  <c:v>0.399999999674707</c:v>
                </c:pt>
                <c:pt idx="72">
                  <c:v>0.399999999632494</c:v>
                </c:pt>
                <c:pt idx="73">
                  <c:v>0.399999999582228</c:v>
                </c:pt>
                <c:pt idx="74">
                  <c:v>0.399999999511816</c:v>
                </c:pt>
                <c:pt idx="75">
                  <c:v>0.4</c:v>
                </c:pt>
                <c:pt idx="76">
                  <c:v>0.4</c:v>
                </c:pt>
                <c:pt idx="77">
                  <c:v>0.399999999982801</c:v>
                </c:pt>
                <c:pt idx="78">
                  <c:v>0.4</c:v>
                </c:pt>
                <c:pt idx="79">
                  <c:v>0.4</c:v>
                </c:pt>
                <c:pt idx="80">
                  <c:v>0.399999999989247</c:v>
                </c:pt>
                <c:pt idx="81">
                  <c:v>0.39999999998042</c:v>
                </c:pt>
                <c:pt idx="82">
                  <c:v>0.4</c:v>
                </c:pt>
                <c:pt idx="83">
                  <c:v>0.39999999999086</c:v>
                </c:pt>
                <c:pt idx="84">
                  <c:v>0.399999999970305</c:v>
                </c:pt>
                <c:pt idx="85">
                  <c:v>0.399999999935635</c:v>
                </c:pt>
                <c:pt idx="86">
                  <c:v>0.399999999884037</c:v>
                </c:pt>
                <c:pt idx="87">
                  <c:v>0.399999999825035</c:v>
                </c:pt>
                <c:pt idx="88">
                  <c:v>0.399999999757073</c:v>
                </c:pt>
                <c:pt idx="89">
                  <c:v>0.399999999673653</c:v>
                </c:pt>
                <c:pt idx="90">
                  <c:v>0.399999999576162</c:v>
                </c:pt>
                <c:pt idx="91">
                  <c:v>0.399999999465133</c:v>
                </c:pt>
                <c:pt idx="92">
                  <c:v>0.399999999339253</c:v>
                </c:pt>
                <c:pt idx="93">
                  <c:v>0.399999999176956</c:v>
                </c:pt>
                <c:pt idx="94">
                  <c:v>0.399999998994316</c:v>
                </c:pt>
                <c:pt idx="95">
                  <c:v>0.39999999882135</c:v>
                </c:pt>
                <c:pt idx="96">
                  <c:v>0.399999998695412</c:v>
                </c:pt>
                <c:pt idx="97">
                  <c:v>0.4</c:v>
                </c:pt>
                <c:pt idx="98">
                  <c:v>0.399999999993622</c:v>
                </c:pt>
                <c:pt idx="99">
                  <c:v>0.399999999969678</c:v>
                </c:pt>
                <c:pt idx="100">
                  <c:v>0.399999999924039</c:v>
                </c:pt>
                <c:pt idx="101">
                  <c:v>0.399999999863675</c:v>
                </c:pt>
                <c:pt idx="102">
                  <c:v>0.399999999786705</c:v>
                </c:pt>
                <c:pt idx="103">
                  <c:v>0.399999999700737</c:v>
                </c:pt>
                <c:pt idx="104">
                  <c:v>0.399999999613185</c:v>
                </c:pt>
                <c:pt idx="105">
                  <c:v>0.399999999520072</c:v>
                </c:pt>
                <c:pt idx="106">
                  <c:v>0.399999999414119</c:v>
                </c:pt>
                <c:pt idx="107">
                  <c:v>0.399999999295898</c:v>
                </c:pt>
                <c:pt idx="108">
                  <c:v>0.399999999162511</c:v>
                </c:pt>
                <c:pt idx="109">
                  <c:v>0.399999999016293</c:v>
                </c:pt>
                <c:pt idx="110">
                  <c:v>0.399999998905451</c:v>
                </c:pt>
                <c:pt idx="111">
                  <c:v>0.4</c:v>
                </c:pt>
                <c:pt idx="112">
                  <c:v>0.399999999991809</c:v>
                </c:pt>
                <c:pt idx="113">
                  <c:v>0.4</c:v>
                </c:pt>
                <c:pt idx="114">
                  <c:v>0.4</c:v>
                </c:pt>
                <c:pt idx="115">
                  <c:v>0.4</c:v>
                </c:pt>
                <c:pt idx="116">
                  <c:v>0.4</c:v>
                </c:pt>
                <c:pt idx="117">
                  <c:v>0.4</c:v>
                </c:pt>
                <c:pt idx="118">
                  <c:v>0.4</c:v>
                </c:pt>
                <c:pt idx="119">
                  <c:v>0.39999999996499</c:v>
                </c:pt>
                <c:pt idx="120">
                  <c:v>0.399999999888297</c:v>
                </c:pt>
                <c:pt idx="121">
                  <c:v>0.399999999751577</c:v>
                </c:pt>
                <c:pt idx="122">
                  <c:v>0.399999999543985</c:v>
                </c:pt>
                <c:pt idx="123">
                  <c:v>0.4</c:v>
                </c:pt>
                <c:pt idx="124">
                  <c:v>0.399999999976208</c:v>
                </c:pt>
                <c:pt idx="125">
                  <c:v>0.399999999913149</c:v>
                </c:pt>
                <c:pt idx="126">
                  <c:v>0.399999999809038</c:v>
                </c:pt>
                <c:pt idx="127">
                  <c:v>0.399999999684637</c:v>
                </c:pt>
                <c:pt idx="128">
                  <c:v>0.399999999537945</c:v>
                </c:pt>
                <c:pt idx="129">
                  <c:v>0.4</c:v>
                </c:pt>
                <c:pt idx="130">
                  <c:v>0.4</c:v>
                </c:pt>
                <c:pt idx="131">
                  <c:v>0.4</c:v>
                </c:pt>
                <c:pt idx="132">
                  <c:v>0.399999999953434</c:v>
                </c:pt>
                <c:pt idx="133">
                  <c:v>0.39999999991474</c:v>
                </c:pt>
                <c:pt idx="134">
                  <c:v>0.399999999810694</c:v>
                </c:pt>
                <c:pt idx="135">
                  <c:v>0.399999999624933</c:v>
                </c:pt>
                <c:pt idx="136">
                  <c:v>0.399999999402446</c:v>
                </c:pt>
                <c:pt idx="137">
                  <c:v>0.399999999135794</c:v>
                </c:pt>
                <c:pt idx="138">
                  <c:v>0.399999998763441</c:v>
                </c:pt>
                <c:pt idx="139">
                  <c:v>0.399999998380103</c:v>
                </c:pt>
                <c:pt idx="140">
                  <c:v>0.4</c:v>
                </c:pt>
                <c:pt idx="141">
                  <c:v>0.4</c:v>
                </c:pt>
                <c:pt idx="142">
                  <c:v>0.399999999900549</c:v>
                </c:pt>
                <c:pt idx="143">
                  <c:v>0.399999999717827</c:v>
                </c:pt>
                <c:pt idx="144">
                  <c:v>0.399999999398728</c:v>
                </c:pt>
                <c:pt idx="145">
                  <c:v>0.399999998935524</c:v>
                </c:pt>
                <c:pt idx="146">
                  <c:v>0.39999999834097</c:v>
                </c:pt>
                <c:pt idx="147">
                  <c:v>0.399999997593432</c:v>
                </c:pt>
                <c:pt idx="148">
                  <c:v>0.399999996696917</c:v>
                </c:pt>
                <c:pt idx="149">
                  <c:v>0.399999995625745</c:v>
                </c:pt>
                <c:pt idx="150">
                  <c:v>0.399999994383938</c:v>
                </c:pt>
                <c:pt idx="151">
                  <c:v>0.39999999296466</c:v>
                </c:pt>
                <c:pt idx="152">
                  <c:v>0.399999992495051</c:v>
                </c:pt>
                <c:pt idx="153">
                  <c:v>0.399999992096103</c:v>
                </c:pt>
                <c:pt idx="154">
                  <c:v>0.399999991660584</c:v>
                </c:pt>
                <c:pt idx="155">
                  <c:v>0.399999991112024</c:v>
                </c:pt>
                <c:pt idx="156">
                  <c:v>0.399999990906641</c:v>
                </c:pt>
                <c:pt idx="157">
                  <c:v>0.399999990669866</c:v>
                </c:pt>
                <c:pt idx="158">
                  <c:v>0.4</c:v>
                </c:pt>
                <c:pt idx="159">
                  <c:v>0.399999999937519</c:v>
                </c:pt>
                <c:pt idx="160">
                  <c:v>0.399999999664038</c:v>
                </c:pt>
                <c:pt idx="161">
                  <c:v>0.399999999126536</c:v>
                </c:pt>
                <c:pt idx="162">
                  <c:v>0.399999998905242</c:v>
                </c:pt>
                <c:pt idx="163">
                  <c:v>0.399999998668918</c:v>
                </c:pt>
                <c:pt idx="164">
                  <c:v>0.4</c:v>
                </c:pt>
                <c:pt idx="165">
                  <c:v>0.399999999868492</c:v>
                </c:pt>
                <c:pt idx="166">
                  <c:v>0.399999999461971</c:v>
                </c:pt>
                <c:pt idx="167">
                  <c:v>0.399999998901878</c:v>
                </c:pt>
                <c:pt idx="168">
                  <c:v>0.399999998298666</c:v>
                </c:pt>
                <c:pt idx="169">
                  <c:v>0.39999999742207</c:v>
                </c:pt>
                <c:pt idx="170">
                  <c:v>0.399999996161759</c:v>
                </c:pt>
                <c:pt idx="171">
                  <c:v>0.399999994230571</c:v>
                </c:pt>
                <c:pt idx="172">
                  <c:v>0.399999991428844</c:v>
                </c:pt>
                <c:pt idx="173">
                  <c:v>0.399999987552852</c:v>
                </c:pt>
                <c:pt idx="174">
                  <c:v>0.399999982905763</c:v>
                </c:pt>
                <c:pt idx="175">
                  <c:v>0.399999977474896</c:v>
                </c:pt>
                <c:pt idx="176">
                  <c:v>0.399999972756701</c:v>
                </c:pt>
                <c:pt idx="177">
                  <c:v>0.399999968719348</c:v>
                </c:pt>
                <c:pt idx="178">
                  <c:v>0.39999996477885</c:v>
                </c:pt>
                <c:pt idx="179">
                  <c:v>0.399999960584575</c:v>
                </c:pt>
                <c:pt idx="180">
                  <c:v>0.399999958714819</c:v>
                </c:pt>
                <c:pt idx="181">
                  <c:v>0.399999956526195</c:v>
                </c:pt>
                <c:pt idx="182">
                  <c:v>0.399999953619195</c:v>
                </c:pt>
                <c:pt idx="183">
                  <c:v>0.399999950028389</c:v>
                </c:pt>
                <c:pt idx="184">
                  <c:v>0.399999945488884</c:v>
                </c:pt>
                <c:pt idx="185">
                  <c:v>0.399999939963788</c:v>
                </c:pt>
                <c:pt idx="186">
                  <c:v>0.399999933425693</c:v>
                </c:pt>
                <c:pt idx="187">
                  <c:v>0.399999925917028</c:v>
                </c:pt>
                <c:pt idx="188">
                  <c:v>0.399999917309191</c:v>
                </c:pt>
                <c:pt idx="189">
                  <c:v>0.399999907586108</c:v>
                </c:pt>
                <c:pt idx="190">
                  <c:v>0.399999897358371</c:v>
                </c:pt>
                <c:pt idx="191">
                  <c:v>0.399999886303072</c:v>
                </c:pt>
                <c:pt idx="192">
                  <c:v>0.399999874425278</c:v>
                </c:pt>
                <c:pt idx="193">
                  <c:v>0.399999861700574</c:v>
                </c:pt>
                <c:pt idx="194">
                  <c:v>0.399999852437484</c:v>
                </c:pt>
                <c:pt idx="195">
                  <c:v>0.399999849333839</c:v>
                </c:pt>
                <c:pt idx="196">
                  <c:v>0.39999984920689</c:v>
                </c:pt>
                <c:pt idx="197">
                  <c:v>0.399999848778571</c:v>
                </c:pt>
                <c:pt idx="198">
                  <c:v>0.4</c:v>
                </c:pt>
                <c:pt idx="199">
                  <c:v>0.4</c:v>
                </c:pt>
                <c:pt idx="200">
                  <c:v>0.4</c:v>
                </c:pt>
                <c:pt idx="201">
                  <c:v>0.399999999209567</c:v>
                </c:pt>
                <c:pt idx="202">
                  <c:v>0.399999997973002</c:v>
                </c:pt>
                <c:pt idx="203">
                  <c:v>0.399999996088345</c:v>
                </c:pt>
                <c:pt idx="204">
                  <c:v>0.39999999320876</c:v>
                </c:pt>
                <c:pt idx="205">
                  <c:v>0.399999989145861</c:v>
                </c:pt>
                <c:pt idx="206">
                  <c:v>0.399999984033153</c:v>
                </c:pt>
                <c:pt idx="207">
                  <c:v>0.399999978307286</c:v>
                </c:pt>
                <c:pt idx="208">
                  <c:v>0.399999975564419</c:v>
                </c:pt>
                <c:pt idx="209">
                  <c:v>0.399999972339706</c:v>
                </c:pt>
                <c:pt idx="210">
                  <c:v>0.399999968554672</c:v>
                </c:pt>
                <c:pt idx="211">
                  <c:v>0.399999964402651</c:v>
                </c:pt>
                <c:pt idx="212">
                  <c:v>0.399999959913242</c:v>
                </c:pt>
                <c:pt idx="213">
                  <c:v>0.399999956919954</c:v>
                </c:pt>
                <c:pt idx="214">
                  <c:v>0.39999995361171</c:v>
                </c:pt>
                <c:pt idx="215">
                  <c:v>0.399999949781366</c:v>
                </c:pt>
                <c:pt idx="216">
                  <c:v>0.399999945212688</c:v>
                </c:pt>
                <c:pt idx="217">
                  <c:v>0.399999939878758</c:v>
                </c:pt>
                <c:pt idx="218">
                  <c:v>0.39999993352909</c:v>
                </c:pt>
                <c:pt idx="219">
                  <c:v>0.399999931133572</c:v>
                </c:pt>
                <c:pt idx="220">
                  <c:v>0.4</c:v>
                </c:pt>
                <c:pt idx="221">
                  <c:v>0.4</c:v>
                </c:pt>
                <c:pt idx="222">
                  <c:v>0.4</c:v>
                </c:pt>
                <c:pt idx="223">
                  <c:v>0.399999999522136</c:v>
                </c:pt>
                <c:pt idx="224">
                  <c:v>0.399999999422623</c:v>
                </c:pt>
                <c:pt idx="225">
                  <c:v>0.399999998769203</c:v>
                </c:pt>
                <c:pt idx="226">
                  <c:v>0.399999998392061</c:v>
                </c:pt>
                <c:pt idx="227">
                  <c:v>0.399999997397298</c:v>
                </c:pt>
                <c:pt idx="228">
                  <c:v>0.399999996034034</c:v>
                </c:pt>
                <c:pt idx="229">
                  <c:v>0.4</c:v>
                </c:pt>
                <c:pt idx="230">
                  <c:v>0.399999999754514</c:v>
                </c:pt>
                <c:pt idx="231">
                  <c:v>0.399999999009396</c:v>
                </c:pt>
                <c:pt idx="232">
                  <c:v>0.399999997822992</c:v>
                </c:pt>
                <c:pt idx="233">
                  <c:v>0.399999995855184</c:v>
                </c:pt>
                <c:pt idx="234">
                  <c:v>0.399999993072545</c:v>
                </c:pt>
                <c:pt idx="235">
                  <c:v>0.399999990050706</c:v>
                </c:pt>
                <c:pt idx="236">
                  <c:v>0.399999986384226</c:v>
                </c:pt>
                <c:pt idx="237">
                  <c:v>0.399999982170307</c:v>
                </c:pt>
                <c:pt idx="238">
                  <c:v>0.399999977175784</c:v>
                </c:pt>
                <c:pt idx="239">
                  <c:v>0.399999972478019</c:v>
                </c:pt>
                <c:pt idx="240">
                  <c:v>0.39999997041606</c:v>
                </c:pt>
                <c:pt idx="241">
                  <c:v>0.399999969062241</c:v>
                </c:pt>
                <c:pt idx="242">
                  <c:v>0.399999967090457</c:v>
                </c:pt>
                <c:pt idx="243">
                  <c:v>0.399999964739538</c:v>
                </c:pt>
                <c:pt idx="244">
                  <c:v>0.399999961792671</c:v>
                </c:pt>
                <c:pt idx="245">
                  <c:v>0.399999959573212</c:v>
                </c:pt>
                <c:pt idx="246">
                  <c:v>0.399999958229997</c:v>
                </c:pt>
                <c:pt idx="247">
                  <c:v>0.39999995650826</c:v>
                </c:pt>
                <c:pt idx="248">
                  <c:v>0.399999954410026</c:v>
                </c:pt>
                <c:pt idx="249">
                  <c:v>0.399999952043738</c:v>
                </c:pt>
                <c:pt idx="250">
                  <c:v>0.399999949514501</c:v>
                </c:pt>
                <c:pt idx="251">
                  <c:v>0.399999946954435</c:v>
                </c:pt>
                <c:pt idx="252">
                  <c:v>0.399999944144766</c:v>
                </c:pt>
                <c:pt idx="253">
                  <c:v>0.399999941119001</c:v>
                </c:pt>
                <c:pt idx="254">
                  <c:v>0.399999937792772</c:v>
                </c:pt>
                <c:pt idx="255">
                  <c:v>0.399999934174145</c:v>
                </c:pt>
                <c:pt idx="256">
                  <c:v>0.399999930206595</c:v>
                </c:pt>
                <c:pt idx="257">
                  <c:v>0.399999926113032</c:v>
                </c:pt>
                <c:pt idx="258">
                  <c:v>0.399999922291127</c:v>
                </c:pt>
                <c:pt idx="259">
                  <c:v>0.39999991845846</c:v>
                </c:pt>
                <c:pt idx="260">
                  <c:v>0.399999914327217</c:v>
                </c:pt>
                <c:pt idx="261">
                  <c:v>0.399999909797535</c:v>
                </c:pt>
                <c:pt idx="262">
                  <c:v>0.399999904789098</c:v>
                </c:pt>
                <c:pt idx="263">
                  <c:v>0.399999899640093</c:v>
                </c:pt>
                <c:pt idx="264">
                  <c:v>0.399999895204017</c:v>
                </c:pt>
                <c:pt idx="265">
                  <c:v>0.399999891476256</c:v>
                </c:pt>
                <c:pt idx="266">
                  <c:v>0.399999888017617</c:v>
                </c:pt>
                <c:pt idx="267">
                  <c:v>0.399999884380283</c:v>
                </c:pt>
                <c:pt idx="268">
                  <c:v>0.399999880372758</c:v>
                </c:pt>
                <c:pt idx="269">
                  <c:v>0.399999875902785</c:v>
                </c:pt>
                <c:pt idx="270">
                  <c:v>0.39999987106786</c:v>
                </c:pt>
              </c:numCache>
            </c:numRef>
          </c:val>
          <c:smooth val="0"/>
        </c:ser>
        <c:ser>
          <c:idx val="4"/>
          <c:order val="4"/>
          <c:tx>
            <c:strRef>
              <c:f>'SAMIR_ex_blé TLS'!$AQ$14</c:f>
              <c:strCache>
                <c:ptCount val="1"/>
                <c:pt idx="0">
                  <c:v>Hobs_1</c:v>
                </c:pt>
              </c:strCache>
            </c:strRef>
          </c:tx>
          <c:spPr>
            <a:ln w="28440" cap="rnd" cmpd="sng" algn="ctr">
              <a:solidFill>
                <a:srgbClr val="FF9933"/>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TLS'!$AQ$15:$AQ$502</c:f>
              <c:numCache>
                <c:formatCode>0.00</c:formatCode>
                <c:ptCount val="488"/>
              </c:numCache>
            </c:numRef>
          </c:val>
          <c:smooth val="0"/>
        </c:ser>
        <c:ser>
          <c:idx val="5"/>
          <c:order val="5"/>
          <c:tx>
            <c:strRef>
              <c:f>'SAMIR_ex_blé TLS'!$AR$14</c:f>
              <c:strCache>
                <c:ptCount val="1"/>
                <c:pt idx="0">
                  <c:v>Hobs_2</c:v>
                </c:pt>
              </c:strCache>
            </c:strRef>
          </c:tx>
          <c:spPr>
            <a:ln w="28440" cap="rnd" cmpd="sng" algn="ctr">
              <a:solidFill>
                <a:srgbClr val="66FF33"/>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TLS'!$AR$15:$AR$502</c:f>
              <c:numCache>
                <c:formatCode>0.00</c:formatCode>
                <c:ptCount val="488"/>
              </c:numCache>
            </c:numRef>
          </c:val>
          <c:smooth val="0"/>
        </c:ser>
        <c:ser>
          <c:idx val="6"/>
          <c:order val="6"/>
          <c:tx>
            <c:strRef>
              <c:f>'SAMIR_ex_blé TLS'!$AS$14</c:f>
              <c:strCache>
                <c:ptCount val="1"/>
                <c:pt idx="0">
                  <c:v>Hobs_3</c:v>
                </c:pt>
              </c:strCache>
            </c:strRef>
          </c:tx>
          <c:spPr>
            <a:ln w="28440" cap="rnd" cmpd="sng" algn="ctr">
              <a:solidFill>
                <a:srgbClr val="558ED5"/>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TLS'!$AS$15:$AS$502</c:f>
              <c:numCache>
                <c:formatCode>0.00</c:formatCode>
                <c:ptCount val="488"/>
              </c:numCache>
            </c:numRef>
          </c:val>
          <c:smooth val="0"/>
        </c:ser>
        <c:ser>
          <c:idx val="7"/>
          <c:order val="7"/>
          <c:tx>
            <c:strRef>
              <c:f>'SAMIR_ex_blé TLS'!$AT$14</c:f>
              <c:strCache>
                <c:ptCount val="1"/>
                <c:pt idx="0">
                  <c:v>Hobs_4</c:v>
                </c:pt>
              </c:strCache>
            </c:strRef>
          </c:tx>
          <c:spPr>
            <a:ln w="28440" cap="rnd" cmpd="sng" algn="ctr">
              <a:solidFill>
                <a:srgbClr val="376092"/>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TLS'!$A$15:$A$502</c:f>
              <c:numCache>
                <c:formatCode>dd/mm/yyyy</c:formatCode>
                <c:ptCount val="488"/>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TLS'!$AT$15:$AT$502</c:f>
              <c:numCache>
                <c:formatCode>0.00</c:formatCode>
                <c:ptCount val="488"/>
              </c:numCache>
            </c:numRef>
          </c:val>
          <c:smooth val="0"/>
        </c:ser>
        <c:dLbls>
          <c:showLegendKey val="0"/>
          <c:showVal val="0"/>
          <c:showCatName val="0"/>
          <c:showSerName val="0"/>
          <c:showPercent val="0"/>
          <c:showBubbleSize val="1"/>
        </c:dLbls>
        <c:hiLowLines>
          <c:spPr>
            <a:ln w="6350" cap="flat" cmpd="sng" algn="ctr">
              <a:noFill/>
              <a:prstDash val="solid"/>
              <a:round/>
            </a:ln>
          </c:spPr>
        </c:hiLowLines>
        <c:marker val="0"/>
        <c:smooth val="0"/>
        <c:axId val="77729931"/>
        <c:axId val="84999333"/>
      </c:lineChart>
      <c:dateAx>
        <c:axId val="85611210"/>
        <c:scaling>
          <c:orientation val="minMax"/>
        </c:scaling>
        <c:delete val="1"/>
        <c:axPos val="b"/>
        <c:numFmt formatCode="m/d/yyyy" sourceLinked="1"/>
        <c:majorTickMark val="out"/>
        <c:minorTickMark val="none"/>
        <c:tickLblPos val="none"/>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88214716"/>
        <c:crosses val="autoZero"/>
        <c:auto val="1"/>
        <c:lblOffset val="100"/>
        <c:baseTimeUnit val="days"/>
      </c:dateAx>
      <c:valAx>
        <c:axId val="88214716"/>
        <c:scaling>
          <c:orientation val="minMax"/>
        </c:scaling>
        <c:delete val="0"/>
        <c:axPos val="r"/>
        <c:numFmt formatCode="0.000" sourceLinked="0"/>
        <c:majorTickMark val="out"/>
        <c:minorTickMark val="none"/>
        <c:tickLblPos val="nextTo"/>
        <c:spPr>
          <a:ln w="9360" cap="flat" cmpd="sng" algn="ctr">
            <a:solidFill>
              <a:srgbClr val="878787"/>
            </a:solidFill>
            <a:prstDash val="solid"/>
            <a:round/>
          </a:ln>
        </c:spPr>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85611210"/>
        <c:crosses val="max"/>
        <c:crossBetween val="midCat"/>
      </c:valAx>
      <c:dateAx>
        <c:axId val="77729931"/>
        <c:scaling>
          <c:orientation val="minMax"/>
        </c:scaling>
        <c:delete val="0"/>
        <c:axPos val="b"/>
        <c:numFmt formatCode="m/d/yyyy" sourceLinked="1"/>
        <c:majorTickMark val="out"/>
        <c:minorTickMark val="none"/>
        <c:tickLblPos val="nextTo"/>
        <c:spPr>
          <a:ln w="9360" cap="flat" cmpd="sng" algn="ctr">
            <a:solidFill>
              <a:srgbClr val="878787"/>
            </a:solidFill>
            <a:prstDash val="solid"/>
            <a:round/>
          </a:ln>
        </c:spPr>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84999333"/>
        <c:crosses val="autoZero"/>
        <c:auto val="1"/>
        <c:lblOffset val="100"/>
        <c:baseTimeUnit val="days"/>
      </c:dateAx>
      <c:valAx>
        <c:axId val="84999333"/>
        <c:scaling>
          <c:orientation val="minMax"/>
          <c:min val="0.2"/>
        </c:scaling>
        <c:delete val="0"/>
        <c:axPos val="l"/>
        <c:numFmt formatCode="0.00" sourceLinked="0"/>
        <c:majorTickMark val="out"/>
        <c:minorTickMark val="none"/>
        <c:tickLblPos val="nextTo"/>
        <c:spPr>
          <a:ln w="9360" cap="flat" cmpd="sng" algn="ctr">
            <a:solidFill>
              <a:srgbClr val="878787"/>
            </a:solidFill>
            <a:prstDash val="solid"/>
            <a:round/>
          </a:ln>
        </c:spPr>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77729931"/>
        <c:crosses val="autoZero"/>
        <c:crossBetween val="midCat"/>
      </c:valAx>
      <c:spPr>
        <a:solidFill>
          <a:srgbClr val="FFFFFF"/>
        </a:solidFill>
        <a:ln>
          <a:noFill/>
        </a:ln>
      </c:spPr>
    </c:plotArea>
    <c:legend>
      <c:legendPos val="r"/>
      <c:layout>
        <c:manualLayout>
          <c:xMode val="edge"/>
          <c:yMode val="edge"/>
          <c:x val="0.935933321643961"/>
          <c:y val="0.106299212598425"/>
        </c:manualLayout>
      </c:layout>
      <c:overlay val="0"/>
      <c:spPr>
        <a:noFill/>
        <a:ln>
          <a:noFill/>
        </a:ln>
      </c:spPr>
      <c:txPr>
        <a:bodyPr rot="0" spcFirstLastPara="0" vertOverflow="ellipsis" vert="horz" wrap="square" anchor="ctr" anchorCtr="1"/>
        <a:lstStyle/>
        <a:p>
          <a:pPr>
            <a:defRPr lang="en-US" sz="1000" b="0" i="0" u="none" strike="noStrike" kern="1200" baseline="0">
              <a:solidFill>
                <a:schemeClr val="tx1"/>
              </a:solidFill>
              <a:latin typeface="+mn-lt"/>
              <a:ea typeface="+mn-ea"/>
              <a:cs typeface="+mn-cs"/>
            </a:defRPr>
          </a:pPr>
        </a:p>
      </c:txPr>
    </c:legend>
    <c:plotVisOnly val="1"/>
    <c:dispBlanksAs val="gap"/>
    <c:showDLblsOverMax val="0"/>
  </c:chart>
  <c:spPr>
    <a:solidFill>
      <a:srgbClr val="FFFFFF"/>
    </a:solidFill>
    <a:ln w="6350" cap="flat" cmpd="sng" algn="ctr">
      <a:noFill/>
      <a:prstDash val="solid"/>
      <a:round/>
    </a:ln>
  </c:spPr>
  <c:txPr>
    <a:bodyPr/>
    <a:lstStyle/>
    <a:p>
      <a:pPr>
        <a:defRPr lang="en-US"/>
      </a:pP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0365473080746203"/>
          <c:y val="0.0449026345933562"/>
          <c:w val="0.851845858665249"/>
          <c:h val="0.707674684994273"/>
        </c:manualLayout>
      </c:layout>
      <c:lineChart>
        <c:grouping val="standard"/>
        <c:varyColors val="0"/>
        <c:ser>
          <c:idx val="0"/>
          <c:order val="0"/>
          <c:tx>
            <c:strRef>
              <c:f>'SAMIR_ex_blé TLS'!$AU$14</c:f>
              <c:strCache>
                <c:ptCount val="1"/>
                <c:pt idx="0">
                  <c:v>fewi</c:v>
                </c:pt>
              </c:strCache>
            </c:strRef>
          </c:tx>
          <c:spPr>
            <a:ln w="28440" cap="rnd" cmpd="sng" algn="ctr">
              <a:solidFill>
                <a:srgbClr val="426FA6"/>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TLS'!$A$15:$A$285</c:f>
              <c:numCache>
                <c:formatCode>dd/mm/yyyy</c:formatCode>
                <c:ptCount val="271"/>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TLS'!$AU$15:$AU$350</c:f>
              <c:numCache>
                <c:formatCode>0.00</c:formatCode>
                <c:ptCount val="336"/>
                <c:pt idx="0">
                  <c:v>0.873333333333333</c:v>
                </c:pt>
                <c:pt idx="1">
                  <c:v>0.873333333333333</c:v>
                </c:pt>
                <c:pt idx="2">
                  <c:v>0.873333333333333</c:v>
                </c:pt>
                <c:pt idx="3">
                  <c:v>0.873333333333333</c:v>
                </c:pt>
                <c:pt idx="4">
                  <c:v>0.874666666666667</c:v>
                </c:pt>
                <c:pt idx="5">
                  <c:v>0.874666666666667</c:v>
                </c:pt>
                <c:pt idx="6">
                  <c:v>0.874666666666667</c:v>
                </c:pt>
                <c:pt idx="7">
                  <c:v>0.874666666666667</c:v>
                </c:pt>
                <c:pt idx="8">
                  <c:v>0.874666666666667</c:v>
                </c:pt>
                <c:pt idx="9">
                  <c:v>0.874666666666667</c:v>
                </c:pt>
                <c:pt idx="10">
                  <c:v>0.876</c:v>
                </c:pt>
                <c:pt idx="11">
                  <c:v>0.876</c:v>
                </c:pt>
                <c:pt idx="12">
                  <c:v>0.876</c:v>
                </c:pt>
                <c:pt idx="13">
                  <c:v>0.853333333333333</c:v>
                </c:pt>
                <c:pt idx="14">
                  <c:v>0.832</c:v>
                </c:pt>
                <c:pt idx="15">
                  <c:v>0.810666666666667</c:v>
                </c:pt>
                <c:pt idx="16">
                  <c:v>0.812</c:v>
                </c:pt>
                <c:pt idx="17">
                  <c:v>0.813333333333333</c:v>
                </c:pt>
                <c:pt idx="18">
                  <c:v>0.816</c:v>
                </c:pt>
                <c:pt idx="19">
                  <c:v>0.805333333333333</c:v>
                </c:pt>
                <c:pt idx="20">
                  <c:v>0.794666666666667</c:v>
                </c:pt>
                <c:pt idx="21">
                  <c:v>0.782666666666667</c:v>
                </c:pt>
                <c:pt idx="22">
                  <c:v>0.772</c:v>
                </c:pt>
                <c:pt idx="23">
                  <c:v>0.761333333333333</c:v>
                </c:pt>
                <c:pt idx="24">
                  <c:v>0.750666666666667</c:v>
                </c:pt>
                <c:pt idx="25">
                  <c:v>0.74</c:v>
                </c:pt>
                <c:pt idx="26">
                  <c:v>0.729333333333333</c:v>
                </c:pt>
                <c:pt idx="27">
                  <c:v>0.718666666666667</c:v>
                </c:pt>
                <c:pt idx="28">
                  <c:v>0.702666666666667</c:v>
                </c:pt>
                <c:pt idx="29">
                  <c:v>0.688</c:v>
                </c:pt>
                <c:pt idx="30">
                  <c:v>0.673333333333333</c:v>
                </c:pt>
                <c:pt idx="31">
                  <c:v>0.658666666666667</c:v>
                </c:pt>
                <c:pt idx="32">
                  <c:v>0.642666666666667</c:v>
                </c:pt>
                <c:pt idx="33">
                  <c:v>0.628</c:v>
                </c:pt>
                <c:pt idx="34">
                  <c:v>0.613333333333333</c:v>
                </c:pt>
                <c:pt idx="35">
                  <c:v>0.597333333333333</c:v>
                </c:pt>
                <c:pt idx="36">
                  <c:v>0.582666666666667</c:v>
                </c:pt>
                <c:pt idx="37">
                  <c:v>0.578666666666667</c:v>
                </c:pt>
                <c:pt idx="38">
                  <c:v>0.574666666666667</c:v>
                </c:pt>
                <c:pt idx="39">
                  <c:v>0.570666666666667</c:v>
                </c:pt>
                <c:pt idx="40">
                  <c:v>0.565333333333333</c:v>
                </c:pt>
                <c:pt idx="41">
                  <c:v>0.561333333333333</c:v>
                </c:pt>
                <c:pt idx="42">
                  <c:v>0.557333333333333</c:v>
                </c:pt>
                <c:pt idx="43">
                  <c:v>0.553333333333333</c:v>
                </c:pt>
                <c:pt idx="44">
                  <c:v>0.549333333333333</c:v>
                </c:pt>
                <c:pt idx="45">
                  <c:v>0.544</c:v>
                </c:pt>
                <c:pt idx="46">
                  <c:v>0.54</c:v>
                </c:pt>
                <c:pt idx="47">
                  <c:v>0.536</c:v>
                </c:pt>
                <c:pt idx="48">
                  <c:v>0.532</c:v>
                </c:pt>
                <c:pt idx="49">
                  <c:v>0.528</c:v>
                </c:pt>
                <c:pt idx="50">
                  <c:v>0.522666666666667</c:v>
                </c:pt>
                <c:pt idx="51">
                  <c:v>0.518666666666667</c:v>
                </c:pt>
                <c:pt idx="52">
                  <c:v>0.514666666666667</c:v>
                </c:pt>
                <c:pt idx="53">
                  <c:v>0.510666666666667</c:v>
                </c:pt>
                <c:pt idx="54">
                  <c:v>0.506666666666667</c:v>
                </c:pt>
                <c:pt idx="55">
                  <c:v>0.502666666666667</c:v>
                </c:pt>
                <c:pt idx="56">
                  <c:v>0.497333333333333</c:v>
                </c:pt>
                <c:pt idx="57">
                  <c:v>0.493333333333333</c:v>
                </c:pt>
                <c:pt idx="58">
                  <c:v>0.489333333333333</c:v>
                </c:pt>
                <c:pt idx="59">
                  <c:v>0.485333333333333</c:v>
                </c:pt>
                <c:pt idx="60">
                  <c:v>0.481333333333333</c:v>
                </c:pt>
                <c:pt idx="61">
                  <c:v>0.476</c:v>
                </c:pt>
                <c:pt idx="62">
                  <c:v>0.472</c:v>
                </c:pt>
                <c:pt idx="63">
                  <c:v>0.468</c:v>
                </c:pt>
                <c:pt idx="64">
                  <c:v>0.464</c:v>
                </c:pt>
                <c:pt idx="65">
                  <c:v>0.46</c:v>
                </c:pt>
                <c:pt idx="66">
                  <c:v>0.454666666666667</c:v>
                </c:pt>
                <c:pt idx="67">
                  <c:v>0.450666666666667</c:v>
                </c:pt>
                <c:pt idx="68">
                  <c:v>0.446666666666667</c:v>
                </c:pt>
                <c:pt idx="69">
                  <c:v>0.442666666666667</c:v>
                </c:pt>
                <c:pt idx="70">
                  <c:v>0.438666666666667</c:v>
                </c:pt>
                <c:pt idx="71">
                  <c:v>0.433333333333333</c:v>
                </c:pt>
                <c:pt idx="72">
                  <c:v>0.429333333333333</c:v>
                </c:pt>
                <c:pt idx="73">
                  <c:v>0.425333333333333</c:v>
                </c:pt>
                <c:pt idx="74">
                  <c:v>0.421333333333333</c:v>
                </c:pt>
                <c:pt idx="75">
                  <c:v>0.417333333333333</c:v>
                </c:pt>
                <c:pt idx="76">
                  <c:v>0.413333333333333</c:v>
                </c:pt>
                <c:pt idx="77">
                  <c:v>0.408</c:v>
                </c:pt>
                <c:pt idx="78">
                  <c:v>0.404</c:v>
                </c:pt>
                <c:pt idx="79">
                  <c:v>0.4</c:v>
                </c:pt>
                <c:pt idx="80">
                  <c:v>0.396</c:v>
                </c:pt>
                <c:pt idx="81">
                  <c:v>0.392</c:v>
                </c:pt>
                <c:pt idx="82">
                  <c:v>0.386666666666667</c:v>
                </c:pt>
                <c:pt idx="83">
                  <c:v>0.382666666666667</c:v>
                </c:pt>
                <c:pt idx="84">
                  <c:v>0.378666666666667</c:v>
                </c:pt>
                <c:pt idx="85">
                  <c:v>0.374666666666667</c:v>
                </c:pt>
                <c:pt idx="86">
                  <c:v>0.370666666666667</c:v>
                </c:pt>
                <c:pt idx="87">
                  <c:v>0.365333333333333</c:v>
                </c:pt>
                <c:pt idx="88">
                  <c:v>0.361333333333333</c:v>
                </c:pt>
                <c:pt idx="89">
                  <c:v>0.357333333333333</c:v>
                </c:pt>
                <c:pt idx="90">
                  <c:v>0.353333333333333</c:v>
                </c:pt>
                <c:pt idx="91">
                  <c:v>0.349333333333333</c:v>
                </c:pt>
                <c:pt idx="92">
                  <c:v>0.344</c:v>
                </c:pt>
                <c:pt idx="93">
                  <c:v>0.34</c:v>
                </c:pt>
                <c:pt idx="94">
                  <c:v>0.336</c:v>
                </c:pt>
                <c:pt idx="95">
                  <c:v>0.332</c:v>
                </c:pt>
                <c:pt idx="96">
                  <c:v>0.328</c:v>
                </c:pt>
                <c:pt idx="97">
                  <c:v>0.322666666666667</c:v>
                </c:pt>
                <c:pt idx="98">
                  <c:v>0.318666666666667</c:v>
                </c:pt>
                <c:pt idx="99">
                  <c:v>0.314666666666667</c:v>
                </c:pt>
                <c:pt idx="100">
                  <c:v>0.310666666666667</c:v>
                </c:pt>
                <c:pt idx="101">
                  <c:v>0.306666666666667</c:v>
                </c:pt>
                <c:pt idx="102">
                  <c:v>0.302666666666667</c:v>
                </c:pt>
                <c:pt idx="103">
                  <c:v>0.297333333333333</c:v>
                </c:pt>
                <c:pt idx="104">
                  <c:v>0.293333333333333</c:v>
                </c:pt>
                <c:pt idx="105">
                  <c:v>0.289333333333333</c:v>
                </c:pt>
                <c:pt idx="106">
                  <c:v>0.285333333333333</c:v>
                </c:pt>
                <c:pt idx="107">
                  <c:v>0.281333333333333</c:v>
                </c:pt>
                <c:pt idx="108">
                  <c:v>0.276</c:v>
                </c:pt>
                <c:pt idx="109">
                  <c:v>0.272</c:v>
                </c:pt>
                <c:pt idx="110">
                  <c:v>0.268</c:v>
                </c:pt>
                <c:pt idx="111">
                  <c:v>0.264</c:v>
                </c:pt>
                <c:pt idx="112">
                  <c:v>0.26</c:v>
                </c:pt>
                <c:pt idx="113">
                  <c:v>0.254666666666667</c:v>
                </c:pt>
                <c:pt idx="114">
                  <c:v>0.250666666666667</c:v>
                </c:pt>
                <c:pt idx="115">
                  <c:v>0.246666666666667</c:v>
                </c:pt>
                <c:pt idx="116">
                  <c:v>0.242666666666667</c:v>
                </c:pt>
                <c:pt idx="117">
                  <c:v>0.238666666666667</c:v>
                </c:pt>
                <c:pt idx="118">
                  <c:v>0.233333333333333</c:v>
                </c:pt>
                <c:pt idx="119">
                  <c:v>0.229333333333333</c:v>
                </c:pt>
                <c:pt idx="120">
                  <c:v>0.225333333333333</c:v>
                </c:pt>
                <c:pt idx="121">
                  <c:v>0.221333333333333</c:v>
                </c:pt>
                <c:pt idx="122">
                  <c:v>0.217333333333333</c:v>
                </c:pt>
                <c:pt idx="123">
                  <c:v>0.213333333333333</c:v>
                </c:pt>
                <c:pt idx="124">
                  <c:v>0.208</c:v>
                </c:pt>
                <c:pt idx="125">
                  <c:v>0.204</c:v>
                </c:pt>
                <c:pt idx="126">
                  <c:v>0.2</c:v>
                </c:pt>
                <c:pt idx="127">
                  <c:v>0.196</c:v>
                </c:pt>
                <c:pt idx="128">
                  <c:v>0.192</c:v>
                </c:pt>
                <c:pt idx="129">
                  <c:v>0.186666666666667</c:v>
                </c:pt>
                <c:pt idx="130">
                  <c:v>0.182666666666667</c:v>
                </c:pt>
                <c:pt idx="131">
                  <c:v>0.178666666666667</c:v>
                </c:pt>
                <c:pt idx="132">
                  <c:v>0.174666666666667</c:v>
                </c:pt>
                <c:pt idx="133">
                  <c:v>0.170666666666667</c:v>
                </c:pt>
                <c:pt idx="134">
                  <c:v>0.165333333333333</c:v>
                </c:pt>
                <c:pt idx="135">
                  <c:v>0.161333333333333</c:v>
                </c:pt>
                <c:pt idx="136">
                  <c:v>0.157333333333333</c:v>
                </c:pt>
                <c:pt idx="137">
                  <c:v>0.153333333333333</c:v>
                </c:pt>
                <c:pt idx="138">
                  <c:v>0.149333333333333</c:v>
                </c:pt>
                <c:pt idx="139">
                  <c:v>0.144</c:v>
                </c:pt>
                <c:pt idx="140">
                  <c:v>0.14</c:v>
                </c:pt>
                <c:pt idx="141">
                  <c:v>0.136</c:v>
                </c:pt>
                <c:pt idx="142">
                  <c:v>0.132</c:v>
                </c:pt>
                <c:pt idx="143">
                  <c:v>0.128</c:v>
                </c:pt>
                <c:pt idx="144">
                  <c:v>0.122666666666667</c:v>
                </c:pt>
                <c:pt idx="145">
                  <c:v>0.118666666666667</c:v>
                </c:pt>
                <c:pt idx="146">
                  <c:v>0.114666666666667</c:v>
                </c:pt>
                <c:pt idx="147">
                  <c:v>0.110666666666667</c:v>
                </c:pt>
                <c:pt idx="148">
                  <c:v>0.106666666666667</c:v>
                </c:pt>
                <c:pt idx="149">
                  <c:v>0.102666666666667</c:v>
                </c:pt>
                <c:pt idx="150">
                  <c:v>0.0973333333333335</c:v>
                </c:pt>
                <c:pt idx="151">
                  <c:v>0.0933333333333335</c:v>
                </c:pt>
                <c:pt idx="152">
                  <c:v>0.0893333333333335</c:v>
                </c:pt>
                <c:pt idx="153">
                  <c:v>0.0853333333333335</c:v>
                </c:pt>
                <c:pt idx="154">
                  <c:v>0.0813333333333335</c:v>
                </c:pt>
                <c:pt idx="155">
                  <c:v>0.0760000000000001</c:v>
                </c:pt>
                <c:pt idx="156">
                  <c:v>0.0720000000000001</c:v>
                </c:pt>
                <c:pt idx="157">
                  <c:v>0.0680000000000001</c:v>
                </c:pt>
                <c:pt idx="158">
                  <c:v>0.0640000000000001</c:v>
                </c:pt>
                <c:pt idx="159">
                  <c:v>0.0600000000000001</c:v>
                </c:pt>
                <c:pt idx="160">
                  <c:v>0.0546666666666666</c:v>
                </c:pt>
                <c:pt idx="161">
                  <c:v>0.0506666666666666</c:v>
                </c:pt>
                <c:pt idx="162">
                  <c:v>0.0466666666666666</c:v>
                </c:pt>
                <c:pt idx="163">
                  <c:v>0.0426666666666666</c:v>
                </c:pt>
                <c:pt idx="164">
                  <c:v>0.0386666666666666</c:v>
                </c:pt>
                <c:pt idx="165">
                  <c:v>0.0333333333333334</c:v>
                </c:pt>
                <c:pt idx="166">
                  <c:v>0.0293333333333334</c:v>
                </c:pt>
                <c:pt idx="167">
                  <c:v>0.0253333333333334</c:v>
                </c:pt>
                <c:pt idx="168">
                  <c:v>0.0213333333333334</c:v>
                </c:pt>
                <c:pt idx="169">
                  <c:v>0.0173333333333334</c:v>
                </c:pt>
                <c:pt idx="170">
                  <c:v>0.0133333333333334</c:v>
                </c:pt>
                <c:pt idx="171">
                  <c:v>0.00800000000000001</c:v>
                </c:pt>
                <c:pt idx="172">
                  <c:v>0.004</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0.774666666666667</c:v>
                </c:pt>
                <c:pt idx="255">
                  <c:v>0.796</c:v>
                </c:pt>
                <c:pt idx="256">
                  <c:v>0.789333333333333</c:v>
                </c:pt>
                <c:pt idx="257">
                  <c:v>0.784</c:v>
                </c:pt>
                <c:pt idx="258">
                  <c:v>0.777333333333333</c:v>
                </c:pt>
                <c:pt idx="259">
                  <c:v>0.772</c:v>
                </c:pt>
                <c:pt idx="260">
                  <c:v>0.765333333333333</c:v>
                </c:pt>
                <c:pt idx="261">
                  <c:v>0.76</c:v>
                </c:pt>
                <c:pt idx="262">
                  <c:v>0.808</c:v>
                </c:pt>
                <c:pt idx="263">
                  <c:v>0.808</c:v>
                </c:pt>
                <c:pt idx="264">
                  <c:v>0.808</c:v>
                </c:pt>
                <c:pt idx="265">
                  <c:v>0.809333333333333</c:v>
                </c:pt>
                <c:pt idx="266">
                  <c:v>0.809333333333333</c:v>
                </c:pt>
                <c:pt idx="267">
                  <c:v>0.810666666666667</c:v>
                </c:pt>
                <c:pt idx="268">
                  <c:v>0.810666666666667</c:v>
                </c:pt>
                <c:pt idx="269">
                  <c:v>0.810666666666667</c:v>
                </c:pt>
                <c:pt idx="270">
                  <c:v>0.812</c:v>
                </c:pt>
              </c:numCache>
            </c:numRef>
          </c:val>
          <c:smooth val="0"/>
        </c:ser>
        <c:ser>
          <c:idx val="1"/>
          <c:order val="1"/>
          <c:tx>
            <c:strRef>
              <c:f>'SAMIR_ex_blé TLS'!$AV$14</c:f>
              <c:strCache>
                <c:ptCount val="1"/>
                <c:pt idx="0">
                  <c:v>fewp</c:v>
                </c:pt>
              </c:strCache>
            </c:strRef>
          </c:tx>
          <c:spPr>
            <a:ln w="28440" cap="rnd" cmpd="sng" algn="ctr">
              <a:solidFill>
                <a:srgbClr val="AA433F"/>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TLS'!$A$15:$A$285</c:f>
              <c:numCache>
                <c:formatCode>dd/mm/yyyy</c:formatCode>
                <c:ptCount val="271"/>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TLS'!$AV$15:$AV$350</c:f>
              <c:numCache>
                <c:formatCode>0.00</c:formatCode>
                <c:ptCount val="3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numCache>
            </c:numRef>
          </c:val>
          <c:smooth val="0"/>
        </c:ser>
        <c:ser>
          <c:idx val="2"/>
          <c:order val="2"/>
          <c:tx>
            <c:strRef>
              <c:f>'SAMIR_ex_blé TLS'!$AW$14</c:f>
              <c:strCache>
                <c:ptCount val="1"/>
                <c:pt idx="0">
                  <c:v>Kri</c:v>
                </c:pt>
              </c:strCache>
            </c:strRef>
          </c:tx>
          <c:spPr>
            <a:ln w="28440" cap="rnd" cmpd="sng" algn="ctr">
              <a:solidFill>
                <a:srgbClr val="87A44B"/>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TLS'!$A$15:$A$285</c:f>
              <c:numCache>
                <c:formatCode>dd/mm/yyyy</c:formatCode>
                <c:ptCount val="271"/>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TLS'!$AW$15:$AW$350</c:f>
              <c:numCache>
                <c:formatCode>0.00</c:formatCode>
                <c:ptCount val="336"/>
                <c:pt idx="0">
                  <c:v>0.102927238733123</c:v>
                </c:pt>
                <c:pt idx="1">
                  <c:v>0.105207957210005</c:v>
                </c:pt>
                <c:pt idx="2">
                  <c:v>0.107565706931212</c:v>
                </c:pt>
                <c:pt idx="3">
                  <c:v>0.1073042538648</c:v>
                </c:pt>
                <c:pt idx="4">
                  <c:v>0.105699398531447</c:v>
                </c:pt>
                <c:pt idx="5">
                  <c:v>0.105548358061419</c:v>
                </c:pt>
                <c:pt idx="6">
                  <c:v>0.104047638683198</c:v>
                </c:pt>
                <c:pt idx="7">
                  <c:v>0.102275692665693</c:v>
                </c:pt>
                <c:pt idx="8">
                  <c:v>0.101585186382931</c:v>
                </c:pt>
                <c:pt idx="9">
                  <c:v>0.100712449741624</c:v>
                </c:pt>
                <c:pt idx="10">
                  <c:v>0.0993632403310671</c:v>
                </c:pt>
                <c:pt idx="11">
                  <c:v>0.0986442631840682</c:v>
                </c:pt>
                <c:pt idx="12">
                  <c:v>0.0980479877918645</c:v>
                </c:pt>
                <c:pt idx="13">
                  <c:v>0.0982453271122069</c:v>
                </c:pt>
                <c:pt idx="14">
                  <c:v>0.0992073019931719</c:v>
                </c:pt>
                <c:pt idx="15">
                  <c:v>0.0977935032048842</c:v>
                </c:pt>
                <c:pt idx="16">
                  <c:v>0.096140062337376</c:v>
                </c:pt>
                <c:pt idx="17">
                  <c:v>0.0943774451428046</c:v>
                </c:pt>
                <c:pt idx="18">
                  <c:v>0.0929125986593887</c:v>
                </c:pt>
                <c:pt idx="19">
                  <c:v>0.0922862353868986</c:v>
                </c:pt>
                <c:pt idx="20">
                  <c:v>0.0909830049098803</c:v>
                </c:pt>
                <c:pt idx="21">
                  <c:v>0.0893056621054424</c:v>
                </c:pt>
                <c:pt idx="22">
                  <c:v>0.0878298950779616</c:v>
                </c:pt>
                <c:pt idx="23">
                  <c:v>0.0884194706963138</c:v>
                </c:pt>
                <c:pt idx="24">
                  <c:v>0.0987938945792339</c:v>
                </c:pt>
                <c:pt idx="25">
                  <c:v>0.107998253263382</c:v>
                </c:pt>
                <c:pt idx="26">
                  <c:v>0.106838264176806</c:v>
                </c:pt>
                <c:pt idx="27">
                  <c:v>0.106437293504873</c:v>
                </c:pt>
                <c:pt idx="28">
                  <c:v>0.106237051617062</c:v>
                </c:pt>
                <c:pt idx="29">
                  <c:v>0.104154118365249</c:v>
                </c:pt>
                <c:pt idx="30">
                  <c:v>0.109910566038397</c:v>
                </c:pt>
                <c:pt idx="31">
                  <c:v>0.1094497234079</c:v>
                </c:pt>
                <c:pt idx="32">
                  <c:v>0.118792303576749</c:v>
                </c:pt>
                <c:pt idx="33">
                  <c:v>0.118299470426869</c:v>
                </c:pt>
                <c:pt idx="34">
                  <c:v>0.12727820001996</c:v>
                </c:pt>
                <c:pt idx="35">
                  <c:v>0.12727820001996</c:v>
                </c:pt>
                <c:pt idx="36">
                  <c:v>0.12727820001996</c:v>
                </c:pt>
                <c:pt idx="37">
                  <c:v>0.126340694919804</c:v>
                </c:pt>
                <c:pt idx="38">
                  <c:v>0.124762496303965</c:v>
                </c:pt>
                <c:pt idx="39">
                  <c:v>0.122660699694827</c:v>
                </c:pt>
                <c:pt idx="40">
                  <c:v>0.121576764036595</c:v>
                </c:pt>
                <c:pt idx="41">
                  <c:v>0.120975258487624</c:v>
                </c:pt>
                <c:pt idx="42">
                  <c:v>0.123735385956367</c:v>
                </c:pt>
                <c:pt idx="43">
                  <c:v>0.124395341633091</c:v>
                </c:pt>
                <c:pt idx="44">
                  <c:v>0.124665165029735</c:v>
                </c:pt>
                <c:pt idx="45">
                  <c:v>0.12363139517164</c:v>
                </c:pt>
                <c:pt idx="46">
                  <c:v>0.12675280146016</c:v>
                </c:pt>
                <c:pt idx="47">
                  <c:v>0.126826138439877</c:v>
                </c:pt>
                <c:pt idx="48">
                  <c:v>0.12558700406136</c:v>
                </c:pt>
                <c:pt idx="49">
                  <c:v>0.12727820001996</c:v>
                </c:pt>
                <c:pt idx="50">
                  <c:v>0.12727820001996</c:v>
                </c:pt>
                <c:pt idx="51">
                  <c:v>0.12727820001996</c:v>
                </c:pt>
                <c:pt idx="52">
                  <c:v>0.12727820001996</c:v>
                </c:pt>
                <c:pt idx="53">
                  <c:v>0.12727820001996</c:v>
                </c:pt>
                <c:pt idx="54">
                  <c:v>0.126664183413115</c:v>
                </c:pt>
                <c:pt idx="55">
                  <c:v>0.126903816927352</c:v>
                </c:pt>
                <c:pt idx="56">
                  <c:v>0.126268315733602</c:v>
                </c:pt>
                <c:pt idx="57">
                  <c:v>0.126436603174765</c:v>
                </c:pt>
                <c:pt idx="58">
                  <c:v>0.126002141901477</c:v>
                </c:pt>
                <c:pt idx="59">
                  <c:v>0.125715211458906</c:v>
                </c:pt>
                <c:pt idx="60">
                  <c:v>0.126538600807624</c:v>
                </c:pt>
                <c:pt idx="61">
                  <c:v>0.12727820001996</c:v>
                </c:pt>
                <c:pt idx="62">
                  <c:v>0.126759187518934</c:v>
                </c:pt>
                <c:pt idx="63">
                  <c:v>0.126938324522949</c:v>
                </c:pt>
                <c:pt idx="64">
                  <c:v>0.12666556438629</c:v>
                </c:pt>
                <c:pt idx="65">
                  <c:v>0.126303373307202</c:v>
                </c:pt>
                <c:pt idx="66">
                  <c:v>0.126512588451197</c:v>
                </c:pt>
                <c:pt idx="67">
                  <c:v>0.126194002140993</c:v>
                </c:pt>
                <c:pt idx="68">
                  <c:v>0.125731211965875</c:v>
                </c:pt>
                <c:pt idx="69">
                  <c:v>0.125263995955589</c:v>
                </c:pt>
                <c:pt idx="70">
                  <c:v>0.124857165036982</c:v>
                </c:pt>
                <c:pt idx="71">
                  <c:v>0.12515805334138</c:v>
                </c:pt>
                <c:pt idx="72">
                  <c:v>0.124615537982586</c:v>
                </c:pt>
                <c:pt idx="73">
                  <c:v>0.123914139066725</c:v>
                </c:pt>
                <c:pt idx="74">
                  <c:v>0.122155229417939</c:v>
                </c:pt>
                <c:pt idx="75">
                  <c:v>0.12727820001996</c:v>
                </c:pt>
                <c:pt idx="76">
                  <c:v>0.12727820001996</c:v>
                </c:pt>
                <c:pt idx="77">
                  <c:v>0.125792743877072</c:v>
                </c:pt>
                <c:pt idx="78">
                  <c:v>0.12727820001996</c:v>
                </c:pt>
                <c:pt idx="79">
                  <c:v>0.12727820001996</c:v>
                </c:pt>
                <c:pt idx="80">
                  <c:v>0.126369474984875</c:v>
                </c:pt>
                <c:pt idx="81">
                  <c:v>0.127061948109451</c:v>
                </c:pt>
                <c:pt idx="82">
                  <c:v>0.12727820001996</c:v>
                </c:pt>
                <c:pt idx="83">
                  <c:v>0.126789717625448</c:v>
                </c:pt>
                <c:pt idx="84">
                  <c:v>0.125858606088663</c:v>
                </c:pt>
                <c:pt idx="85">
                  <c:v>0.124722252009646</c:v>
                </c:pt>
                <c:pt idx="86">
                  <c:v>0.123377629589798</c:v>
                </c:pt>
                <c:pt idx="87">
                  <c:v>0.123093896684144</c:v>
                </c:pt>
                <c:pt idx="88">
                  <c:v>0.122414749178211</c:v>
                </c:pt>
                <c:pt idx="89">
                  <c:v>0.121240482711746</c:v>
                </c:pt>
                <c:pt idx="90">
                  <c:v>0.12019342259662</c:v>
                </c:pt>
                <c:pt idx="91">
                  <c:v>0.119205218658341</c:v>
                </c:pt>
                <c:pt idx="92">
                  <c:v>0.11815504716045</c:v>
                </c:pt>
                <c:pt idx="93">
                  <c:v>0.115505134801609</c:v>
                </c:pt>
                <c:pt idx="94">
                  <c:v>0.114090212619519</c:v>
                </c:pt>
                <c:pt idx="95">
                  <c:v>0.116050486111491</c:v>
                </c:pt>
                <c:pt idx="96">
                  <c:v>0.122439651634847</c:v>
                </c:pt>
                <c:pt idx="97">
                  <c:v>0.12727820001996</c:v>
                </c:pt>
                <c:pt idx="98">
                  <c:v>0.127101298430541</c:v>
                </c:pt>
                <c:pt idx="99">
                  <c:v>0.12584601043806</c:v>
                </c:pt>
                <c:pt idx="100">
                  <c:v>0.124323138947404</c:v>
                </c:pt>
                <c:pt idx="101">
                  <c:v>0.123318231996051</c:v>
                </c:pt>
                <c:pt idx="102">
                  <c:v>0.122204065137861</c:v>
                </c:pt>
                <c:pt idx="103">
                  <c:v>0.121646418045025</c:v>
                </c:pt>
                <c:pt idx="104">
                  <c:v>0.121881969524831</c:v>
                </c:pt>
                <c:pt idx="105">
                  <c:v>0.121855158202365</c:v>
                </c:pt>
                <c:pt idx="106">
                  <c:v>0.121058552600623</c:v>
                </c:pt>
                <c:pt idx="107">
                  <c:v>0.120317234985049</c:v>
                </c:pt>
                <c:pt idx="108">
                  <c:v>0.119431420897711</c:v>
                </c:pt>
                <c:pt idx="109">
                  <c:v>0.118997303354222</c:v>
                </c:pt>
                <c:pt idx="110">
                  <c:v>0.1237247757077</c:v>
                </c:pt>
                <c:pt idx="111">
                  <c:v>0.12727820001996</c:v>
                </c:pt>
                <c:pt idx="112">
                  <c:v>0.127068145008056</c:v>
                </c:pt>
                <c:pt idx="113">
                  <c:v>0.12727820001996</c:v>
                </c:pt>
                <c:pt idx="114">
                  <c:v>0.12727820001996</c:v>
                </c:pt>
                <c:pt idx="115">
                  <c:v>0.12727820001996</c:v>
                </c:pt>
                <c:pt idx="116">
                  <c:v>0.12727820001996</c:v>
                </c:pt>
                <c:pt idx="117">
                  <c:v>0.12727820001996</c:v>
                </c:pt>
                <c:pt idx="118">
                  <c:v>0.12727820001996</c:v>
                </c:pt>
                <c:pt idx="119">
                  <c:v>0.125603034412455</c:v>
                </c:pt>
                <c:pt idx="120">
                  <c:v>0.123612025116933</c:v>
                </c:pt>
                <c:pt idx="121">
                  <c:v>0.120374675527543</c:v>
                </c:pt>
                <c:pt idx="122">
                  <c:v>0.116667742991309</c:v>
                </c:pt>
                <c:pt idx="123">
                  <c:v>0.12727820001996</c:v>
                </c:pt>
                <c:pt idx="124">
                  <c:v>0.126025281046659</c:v>
                </c:pt>
                <c:pt idx="125">
                  <c:v>0.124323395878989</c:v>
                </c:pt>
                <c:pt idx="126">
                  <c:v>0.122279869597617</c:v>
                </c:pt>
                <c:pt idx="127">
                  <c:v>0.121657143559952</c:v>
                </c:pt>
                <c:pt idx="128">
                  <c:v>0.120966757816359</c:v>
                </c:pt>
                <c:pt idx="129">
                  <c:v>0.12727820001996</c:v>
                </c:pt>
                <c:pt idx="130">
                  <c:v>0.12727820001996</c:v>
                </c:pt>
                <c:pt idx="131">
                  <c:v>0.12727820001996</c:v>
                </c:pt>
                <c:pt idx="132">
                  <c:v>0.125122187764022</c:v>
                </c:pt>
                <c:pt idx="133">
                  <c:v>0.12727820001996</c:v>
                </c:pt>
                <c:pt idx="134">
                  <c:v>0.124380859736089</c:v>
                </c:pt>
                <c:pt idx="135">
                  <c:v>0.12088245957914</c:v>
                </c:pt>
                <c:pt idx="136">
                  <c:v>0.120425698022026</c:v>
                </c:pt>
                <c:pt idx="137">
                  <c:v>0.119059327001494</c:v>
                </c:pt>
                <c:pt idx="138">
                  <c:v>0.114919661864903</c:v>
                </c:pt>
                <c:pt idx="139">
                  <c:v>0.117490023107392</c:v>
                </c:pt>
                <c:pt idx="140">
                  <c:v>0.12727820001996</c:v>
                </c:pt>
                <c:pt idx="141">
                  <c:v>0.12727820001996</c:v>
                </c:pt>
                <c:pt idx="142">
                  <c:v>0.123504150593583</c:v>
                </c:pt>
                <c:pt idx="143">
                  <c:v>0.120520525383441</c:v>
                </c:pt>
                <c:pt idx="144">
                  <c:v>0.115882064007115</c:v>
                </c:pt>
                <c:pt idx="145">
                  <c:v>0.11121425863234</c:v>
                </c:pt>
                <c:pt idx="146">
                  <c:v>0.107600691529236</c:v>
                </c:pt>
                <c:pt idx="147">
                  <c:v>0.103195013773195</c:v>
                </c:pt>
                <c:pt idx="148">
                  <c:v>0.0992077887189987</c:v>
                </c:pt>
                <c:pt idx="149">
                  <c:v>0.0947485235423164</c:v>
                </c:pt>
                <c:pt idx="150">
                  <c:v>0.0910303701345255</c:v>
                </c:pt>
                <c:pt idx="151">
                  <c:v>0.0879365884729066</c:v>
                </c:pt>
                <c:pt idx="152">
                  <c:v>0.12727820001996</c:v>
                </c:pt>
                <c:pt idx="153">
                  <c:v>0.12727820001996</c:v>
                </c:pt>
                <c:pt idx="154">
                  <c:v>0.12727820001996</c:v>
                </c:pt>
                <c:pt idx="155">
                  <c:v>0.124604567471989</c:v>
                </c:pt>
                <c:pt idx="156">
                  <c:v>0.12727820001996</c:v>
                </c:pt>
                <c:pt idx="157">
                  <c:v>0.12727820001996</c:v>
                </c:pt>
                <c:pt idx="158">
                  <c:v>0.12727820001996</c:v>
                </c:pt>
                <c:pt idx="159">
                  <c:v>0.126138349035979</c:v>
                </c:pt>
                <c:pt idx="160">
                  <c:v>0.121518768133906</c:v>
                </c:pt>
                <c:pt idx="161">
                  <c:v>0.116841934655414</c:v>
                </c:pt>
                <c:pt idx="162">
                  <c:v>0.12727820001996</c:v>
                </c:pt>
                <c:pt idx="163">
                  <c:v>0.12727820001996</c:v>
                </c:pt>
                <c:pt idx="164">
                  <c:v>0.12727820001996</c:v>
                </c:pt>
                <c:pt idx="165">
                  <c:v>0.125210273154708</c:v>
                </c:pt>
                <c:pt idx="166">
                  <c:v>0.120589489867008</c:v>
                </c:pt>
                <c:pt idx="167">
                  <c:v>0.121236691490301</c:v>
                </c:pt>
                <c:pt idx="168">
                  <c:v>0.123725254726929</c:v>
                </c:pt>
                <c:pt idx="169">
                  <c:v>0.120386934783786</c:v>
                </c:pt>
                <c:pt idx="170">
                  <c:v>0.115657224939605</c:v>
                </c:pt>
                <c:pt idx="171">
                  <c:v>0.108285827861428</c:v>
                </c:pt>
                <c:pt idx="172">
                  <c:v>0.0984293736659766</c:v>
                </c:pt>
                <c:pt idx="173">
                  <c:v>0.0855892133877247</c:v>
                </c:pt>
                <c:pt idx="174">
                  <c:v>0.0812291699351037</c:v>
                </c:pt>
                <c:pt idx="175">
                  <c:v>0.0767755082958739</c:v>
                </c:pt>
                <c:pt idx="176">
                  <c:v>0.0968976100430255</c:v>
                </c:pt>
                <c:pt idx="177">
                  <c:v>0.113729828985717</c:v>
                </c:pt>
                <c:pt idx="178">
                  <c:v>0.11737720071108</c:v>
                </c:pt>
                <c:pt idx="179">
                  <c:v>0.11540012518655</c:v>
                </c:pt>
                <c:pt idx="180">
                  <c:v>0.12727820001996</c:v>
                </c:pt>
                <c:pt idx="181">
                  <c:v>0.124935917880569</c:v>
                </c:pt>
                <c:pt idx="182">
                  <c:v>0.119649921949093</c:v>
                </c:pt>
                <c:pt idx="183">
                  <c:v>0.115023388653091</c:v>
                </c:pt>
                <c:pt idx="184">
                  <c:v>0.107959644932806</c:v>
                </c:pt>
                <c:pt idx="185">
                  <c:v>0.100576911709396</c:v>
                </c:pt>
                <c:pt idx="186">
                  <c:v>0.0929374694451778</c:v>
                </c:pt>
                <c:pt idx="187">
                  <c:v>0.0855624112695696</c:v>
                </c:pt>
                <c:pt idx="188">
                  <c:v>0.0771436207252288</c:v>
                </c:pt>
                <c:pt idx="189">
                  <c:v>0.0685153751864932</c:v>
                </c:pt>
                <c:pt idx="190">
                  <c:v>0.0645654474594298</c:v>
                </c:pt>
                <c:pt idx="191">
                  <c:v>0.0580515830862817</c:v>
                </c:pt>
                <c:pt idx="192">
                  <c:v>0.0515103073811132</c:v>
                </c:pt>
                <c:pt idx="193">
                  <c:v>0.0446955055196575</c:v>
                </c:pt>
                <c:pt idx="194">
                  <c:v>0.108485538365549</c:v>
                </c:pt>
                <c:pt idx="195">
                  <c:v>0.12727820001996</c:v>
                </c:pt>
                <c:pt idx="196">
                  <c:v>0.12727820001996</c:v>
                </c:pt>
                <c:pt idx="197">
                  <c:v>0.12727820001996</c:v>
                </c:pt>
                <c:pt idx="198">
                  <c:v>0.12727820001996</c:v>
                </c:pt>
                <c:pt idx="199">
                  <c:v>0.12727820001996</c:v>
                </c:pt>
                <c:pt idx="200">
                  <c:v>0.12727820001996</c:v>
                </c:pt>
                <c:pt idx="201">
                  <c:v>0.122083890815911</c:v>
                </c:pt>
                <c:pt idx="202">
                  <c:v>0.11914066366948</c:v>
                </c:pt>
                <c:pt idx="203">
                  <c:v>0.114855360630946</c:v>
                </c:pt>
                <c:pt idx="204">
                  <c:v>0.108254135835197</c:v>
                </c:pt>
                <c:pt idx="205">
                  <c:v>0.100358837612922</c:v>
                </c:pt>
                <c:pt idx="206">
                  <c:v>0.0933034266554651</c:v>
                </c:pt>
                <c:pt idx="207">
                  <c:v>0.0941447962480486</c:v>
                </c:pt>
                <c:pt idx="208">
                  <c:v>0.12727820001996</c:v>
                </c:pt>
                <c:pt idx="209">
                  <c:v>0.123532697684362</c:v>
                </c:pt>
                <c:pt idx="210">
                  <c:v>0.121607739827084</c:v>
                </c:pt>
                <c:pt idx="211">
                  <c:v>0.119874570995493</c:v>
                </c:pt>
                <c:pt idx="212">
                  <c:v>0.117148400943255</c:v>
                </c:pt>
                <c:pt idx="213">
                  <c:v>0.12727820001996</c:v>
                </c:pt>
                <c:pt idx="214">
                  <c:v>0.125190510362694</c:v>
                </c:pt>
                <c:pt idx="215">
                  <c:v>0.121042318584406</c:v>
                </c:pt>
                <c:pt idx="216">
                  <c:v>0.1155567530339</c:v>
                </c:pt>
                <c:pt idx="217">
                  <c:v>0.109407547988757</c:v>
                </c:pt>
                <c:pt idx="218">
                  <c:v>0.10120326611898</c:v>
                </c:pt>
                <c:pt idx="219">
                  <c:v>0.12727820001996</c:v>
                </c:pt>
                <c:pt idx="220">
                  <c:v>0.12727820001996</c:v>
                </c:pt>
                <c:pt idx="221">
                  <c:v>0.12727820001996</c:v>
                </c:pt>
                <c:pt idx="222">
                  <c:v>0.12727820001996</c:v>
                </c:pt>
                <c:pt idx="223">
                  <c:v>0.12413793134511</c:v>
                </c:pt>
                <c:pt idx="224">
                  <c:v>0.12727820001996</c:v>
                </c:pt>
                <c:pt idx="225">
                  <c:v>0.12727820001996</c:v>
                </c:pt>
                <c:pt idx="226">
                  <c:v>0.12727820001996</c:v>
                </c:pt>
                <c:pt idx="227">
                  <c:v>0.123131373988841</c:v>
                </c:pt>
                <c:pt idx="228">
                  <c:v>0.123380736030491</c:v>
                </c:pt>
                <c:pt idx="229">
                  <c:v>0.12727820001996</c:v>
                </c:pt>
                <c:pt idx="230">
                  <c:v>0.125664998306474</c:v>
                </c:pt>
                <c:pt idx="231">
                  <c:v>0.123764620276977</c:v>
                </c:pt>
                <c:pt idx="232">
                  <c:v>0.121279300111524</c:v>
                </c:pt>
                <c:pt idx="233">
                  <c:v>0.116035701614605</c:v>
                </c:pt>
                <c:pt idx="234">
                  <c:v>0.110545046431628</c:v>
                </c:pt>
                <c:pt idx="235">
                  <c:v>0.115276945003819</c:v>
                </c:pt>
                <c:pt idx="236">
                  <c:v>0.111087788163592</c:v>
                </c:pt>
                <c:pt idx="237">
                  <c:v>0.107129999561284</c:v>
                </c:pt>
                <c:pt idx="238">
                  <c:v>0.101467352144475</c:v>
                </c:pt>
                <c:pt idx="239">
                  <c:v>0.112660184748611</c:v>
                </c:pt>
                <c:pt idx="240">
                  <c:v>0.12727820001996</c:v>
                </c:pt>
                <c:pt idx="241">
                  <c:v>0.12727820001996</c:v>
                </c:pt>
                <c:pt idx="242">
                  <c:v>0.122881776328745</c:v>
                </c:pt>
                <c:pt idx="243">
                  <c:v>0.120175601991937</c:v>
                </c:pt>
                <c:pt idx="244">
                  <c:v>0.115913059692726</c:v>
                </c:pt>
                <c:pt idx="245">
                  <c:v>0.12727820001996</c:v>
                </c:pt>
                <c:pt idx="246">
                  <c:v>0.12727820001996</c:v>
                </c:pt>
                <c:pt idx="247">
                  <c:v>0.124587005482994</c:v>
                </c:pt>
                <c:pt idx="248">
                  <c:v>0.121904888396286</c:v>
                </c:pt>
                <c:pt idx="249">
                  <c:v>0.120428355181162</c:v>
                </c:pt>
                <c:pt idx="250">
                  <c:v>0.121435486584401</c:v>
                </c:pt>
                <c:pt idx="251">
                  <c:v>0.122068086003879</c:v>
                </c:pt>
                <c:pt idx="252">
                  <c:v>0.120229693596198</c:v>
                </c:pt>
                <c:pt idx="253">
                  <c:v>0.118635849893504</c:v>
                </c:pt>
                <c:pt idx="254">
                  <c:v>0.116417018677618</c:v>
                </c:pt>
                <c:pt idx="255">
                  <c:v>0.113041274048496</c:v>
                </c:pt>
                <c:pt idx="256">
                  <c:v>0.109458999522488</c:v>
                </c:pt>
                <c:pt idx="257">
                  <c:v>0.108020752662632</c:v>
                </c:pt>
                <c:pt idx="258">
                  <c:v>0.114066140255263</c:v>
                </c:pt>
                <c:pt idx="259">
                  <c:v>0.115352185419099</c:v>
                </c:pt>
                <c:pt idx="260">
                  <c:v>0.111877513538593</c:v>
                </c:pt>
                <c:pt idx="261">
                  <c:v>0.10731646250586</c:v>
                </c:pt>
                <c:pt idx="262">
                  <c:v>0.10194382412358</c:v>
                </c:pt>
                <c:pt idx="263">
                  <c:v>0.101789430062471</c:v>
                </c:pt>
                <c:pt idx="264">
                  <c:v>0.114292584253889</c:v>
                </c:pt>
                <c:pt idx="265">
                  <c:v>0.12727820001996</c:v>
                </c:pt>
                <c:pt idx="266">
                  <c:v>0.12727820001996</c:v>
                </c:pt>
                <c:pt idx="267">
                  <c:v>0.125207407445546</c:v>
                </c:pt>
                <c:pt idx="268">
                  <c:v>0.120549445196398</c:v>
                </c:pt>
                <c:pt idx="269">
                  <c:v>0.114808393900623</c:v>
                </c:pt>
                <c:pt idx="270">
                  <c:v>0.110356443476414</c:v>
                </c:pt>
              </c:numCache>
            </c:numRef>
          </c:val>
          <c:smooth val="0"/>
        </c:ser>
        <c:ser>
          <c:idx val="3"/>
          <c:order val="3"/>
          <c:tx>
            <c:strRef>
              <c:f>'SAMIR_ex_blé TLS'!$AX$14</c:f>
              <c:strCache>
                <c:ptCount val="1"/>
                <c:pt idx="0">
                  <c:v>Krp</c:v>
                </c:pt>
              </c:strCache>
            </c:strRef>
          </c:tx>
          <c:spPr>
            <a:ln w="28440" cap="rnd" cmpd="sng" algn="ctr">
              <a:solidFill>
                <a:srgbClr val="6F568D"/>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TLS'!$A$15:$A$285</c:f>
              <c:numCache>
                <c:formatCode>dd/mm/yyyy</c:formatCode>
                <c:ptCount val="271"/>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TLS'!$AX$15:$AX$350</c:f>
              <c:numCache>
                <c:formatCode>0.00</c:formatCode>
                <c:ptCount val="336"/>
                <c:pt idx="0">
                  <c:v>0.102927238733123</c:v>
                </c:pt>
                <c:pt idx="1">
                  <c:v>0.105899417713939</c:v>
                </c:pt>
                <c:pt idx="2">
                  <c:v>0.108921524103527</c:v>
                </c:pt>
                <c:pt idx="3">
                  <c:v>0.109135304293343</c:v>
                </c:pt>
                <c:pt idx="4">
                  <c:v>0.108275564754283</c:v>
                </c:pt>
                <c:pt idx="5">
                  <c:v>0.108899219587512</c:v>
                </c:pt>
                <c:pt idx="6">
                  <c:v>0.108093045904769</c:v>
                </c:pt>
                <c:pt idx="7">
                  <c:v>0.107134866421453</c:v>
                </c:pt>
                <c:pt idx="8">
                  <c:v>0.107104680741396</c:v>
                </c:pt>
                <c:pt idx="9">
                  <c:v>0.10697243401823</c:v>
                </c:pt>
                <c:pt idx="10">
                  <c:v>0.106231948532892</c:v>
                </c:pt>
                <c:pt idx="11">
                  <c:v>0.106179562595928</c:v>
                </c:pt>
                <c:pt idx="12">
                  <c:v>0.106192166060116</c:v>
                </c:pt>
                <c:pt idx="13">
                  <c:v>0.106981670023062</c:v>
                </c:pt>
                <c:pt idx="14">
                  <c:v>0.108480728753056</c:v>
                </c:pt>
                <c:pt idx="15">
                  <c:v>0.107595860819457</c:v>
                </c:pt>
                <c:pt idx="16">
                  <c:v>0.106492836848669</c:v>
                </c:pt>
                <c:pt idx="17">
                  <c:v>0.105321034878409</c:v>
                </c:pt>
                <c:pt idx="18">
                  <c:v>0.104350784976098</c:v>
                </c:pt>
                <c:pt idx="19">
                  <c:v>0.104197423734387</c:v>
                </c:pt>
                <c:pt idx="20">
                  <c:v>0.103313757075903</c:v>
                </c:pt>
                <c:pt idx="21">
                  <c:v>0.102143312312609</c:v>
                </c:pt>
                <c:pt idx="22">
                  <c:v>0.101081443127675</c:v>
                </c:pt>
                <c:pt idx="23">
                  <c:v>0.101914677646698</c:v>
                </c:pt>
                <c:pt idx="24">
                  <c:v>0.112539783896954</c:v>
                </c:pt>
                <c:pt idx="25">
                  <c:v>0.121897589929209</c:v>
                </c:pt>
                <c:pt idx="26">
                  <c:v>0.12102762781849</c:v>
                </c:pt>
                <c:pt idx="27">
                  <c:v>0.120901171141875</c:v>
                </c:pt>
                <c:pt idx="28">
                  <c:v>0.120918112210974</c:v>
                </c:pt>
                <c:pt idx="29">
                  <c:v>0.119281134994158</c:v>
                </c:pt>
                <c:pt idx="30">
                  <c:v>0.125546811207733</c:v>
                </c:pt>
                <c:pt idx="31">
                  <c:v>0.125335587566221</c:v>
                </c:pt>
                <c:pt idx="32">
                  <c:v>0.12727820001996</c:v>
                </c:pt>
                <c:pt idx="33">
                  <c:v>0.127109740998965</c:v>
                </c:pt>
                <c:pt idx="34">
                  <c:v>0.12727820001996</c:v>
                </c:pt>
                <c:pt idx="35">
                  <c:v>0.12727820001996</c:v>
                </c:pt>
                <c:pt idx="36">
                  <c:v>0.12727820001996</c:v>
                </c:pt>
                <c:pt idx="37">
                  <c:v>0.12694755726619</c:v>
                </c:pt>
                <c:pt idx="38">
                  <c:v>0.125922820885701</c:v>
                </c:pt>
                <c:pt idx="39">
                  <c:v>0.124542728630979</c:v>
                </c:pt>
                <c:pt idx="40">
                  <c:v>0.123820820144514</c:v>
                </c:pt>
                <c:pt idx="41">
                  <c:v>0.123666288812522</c:v>
                </c:pt>
                <c:pt idx="42">
                  <c:v>0.126763312641756</c:v>
                </c:pt>
                <c:pt idx="43">
                  <c:v>0.12727820001996</c:v>
                </c:pt>
                <c:pt idx="44">
                  <c:v>0.12727820001996</c:v>
                </c:pt>
                <c:pt idx="45">
                  <c:v>0.126579387675443</c:v>
                </c:pt>
                <c:pt idx="46">
                  <c:v>0.12727820001996</c:v>
                </c:pt>
                <c:pt idx="47">
                  <c:v>0.12727820001996</c:v>
                </c:pt>
                <c:pt idx="48">
                  <c:v>0.126452222394657</c:v>
                </c:pt>
                <c:pt idx="49">
                  <c:v>0.12727820001996</c:v>
                </c:pt>
                <c:pt idx="50">
                  <c:v>0.12727820001996</c:v>
                </c:pt>
                <c:pt idx="51">
                  <c:v>0.12727820001996</c:v>
                </c:pt>
                <c:pt idx="52">
                  <c:v>0.12727820001996</c:v>
                </c:pt>
                <c:pt idx="53">
                  <c:v>0.12727820001996</c:v>
                </c:pt>
                <c:pt idx="54">
                  <c:v>0.12687048007649</c:v>
                </c:pt>
                <c:pt idx="55">
                  <c:v>0.12727820001996</c:v>
                </c:pt>
                <c:pt idx="56">
                  <c:v>0.126852979175525</c:v>
                </c:pt>
                <c:pt idx="57">
                  <c:v>0.127215192346853</c:v>
                </c:pt>
                <c:pt idx="58">
                  <c:v>0.126922010751623</c:v>
                </c:pt>
                <c:pt idx="59">
                  <c:v>0.126973153822908</c:v>
                </c:pt>
                <c:pt idx="60">
                  <c:v>0.12727820001996</c:v>
                </c:pt>
                <c:pt idx="61">
                  <c:v>0.12727820001996</c:v>
                </c:pt>
                <c:pt idx="62">
                  <c:v>0.126928703341162</c:v>
                </c:pt>
                <c:pt idx="63">
                  <c:v>0.12727820001996</c:v>
                </c:pt>
                <c:pt idx="64">
                  <c:v>0.127093263981016</c:v>
                </c:pt>
                <c:pt idx="65">
                  <c:v>0.126847026986033</c:v>
                </c:pt>
                <c:pt idx="66">
                  <c:v>0.127231650455995</c:v>
                </c:pt>
                <c:pt idx="67">
                  <c:v>0.127013694852485</c:v>
                </c:pt>
                <c:pt idx="68">
                  <c:v>0.126696182648026</c:v>
                </c:pt>
                <c:pt idx="69">
                  <c:v>0.126374497872862</c:v>
                </c:pt>
                <c:pt idx="70">
                  <c:v>0.126093398714597</c:v>
                </c:pt>
                <c:pt idx="71">
                  <c:v>0.126535401610012</c:v>
                </c:pt>
                <c:pt idx="72">
                  <c:v>0.126158410307357</c:v>
                </c:pt>
                <c:pt idx="73">
                  <c:v>0.125669153137641</c:v>
                </c:pt>
                <c:pt idx="74">
                  <c:v>0.124436627352777</c:v>
                </c:pt>
                <c:pt idx="75">
                  <c:v>0.12727820001996</c:v>
                </c:pt>
                <c:pt idx="76">
                  <c:v>0.12727820001996</c:v>
                </c:pt>
                <c:pt idx="77">
                  <c:v>0.126259324419949</c:v>
                </c:pt>
                <c:pt idx="78">
                  <c:v>0.12727820001996</c:v>
                </c:pt>
                <c:pt idx="79">
                  <c:v>0.12727820001996</c:v>
                </c:pt>
                <c:pt idx="80">
                  <c:v>0.126652636406047</c:v>
                </c:pt>
                <c:pt idx="81">
                  <c:v>0.12727820001996</c:v>
                </c:pt>
                <c:pt idx="82">
                  <c:v>0.12727820001996</c:v>
                </c:pt>
                <c:pt idx="83">
                  <c:v>0.127176010585933</c:v>
                </c:pt>
                <c:pt idx="84">
                  <c:v>0.126529089792492</c:v>
                </c:pt>
                <c:pt idx="85">
                  <c:v>0.125735316157843</c:v>
                </c:pt>
                <c:pt idx="86">
                  <c:v>0.124790108302673</c:v>
                </c:pt>
                <c:pt idx="87">
                  <c:v>0.124811279632563</c:v>
                </c:pt>
                <c:pt idx="88">
                  <c:v>0.124328008632898</c:v>
                </c:pt>
                <c:pt idx="89">
                  <c:v>0.123489022187043</c:v>
                </c:pt>
                <c:pt idx="90">
                  <c:v>0.122736139789402</c:v>
                </c:pt>
                <c:pt idx="91">
                  <c:v>0.122021483213425</c:v>
                </c:pt>
                <c:pt idx="92">
                  <c:v>0.121257867537795</c:v>
                </c:pt>
                <c:pt idx="93">
                  <c:v>0.119319515377205</c:v>
                </c:pt>
                <c:pt idx="94">
                  <c:v>0.118270641820502</c:v>
                </c:pt>
                <c:pt idx="95">
                  <c:v>0.120505088231873</c:v>
                </c:pt>
                <c:pt idx="96">
                  <c:v>0.127202350736314</c:v>
                </c:pt>
                <c:pt idx="97">
                  <c:v>0.12727820001996</c:v>
                </c:pt>
                <c:pt idx="98">
                  <c:v>0.12727820001996</c:v>
                </c:pt>
                <c:pt idx="99">
                  <c:v>0.12639571311947</c:v>
                </c:pt>
                <c:pt idx="100">
                  <c:v>0.125318227682136</c:v>
                </c:pt>
                <c:pt idx="101">
                  <c:v>0.124601793842736</c:v>
                </c:pt>
                <c:pt idx="102">
                  <c:v>0.123803294332095</c:v>
                </c:pt>
                <c:pt idx="103">
                  <c:v>0.123401351411897</c:v>
                </c:pt>
                <c:pt idx="104">
                  <c:v>0.123782277846476</c:v>
                </c:pt>
                <c:pt idx="105">
                  <c:v>0.12397237657162</c:v>
                </c:pt>
                <c:pt idx="106">
                  <c:v>0.123393398811521</c:v>
                </c:pt>
                <c:pt idx="107">
                  <c:v>0.122852359720602</c:v>
                </c:pt>
                <c:pt idx="108">
                  <c:v>0.122203343603246</c:v>
                </c:pt>
                <c:pt idx="109">
                  <c:v>0.122084533929392</c:v>
                </c:pt>
                <c:pt idx="110">
                  <c:v>0.127165808405965</c:v>
                </c:pt>
                <c:pt idx="111">
                  <c:v>0.12727820001996</c:v>
                </c:pt>
                <c:pt idx="112">
                  <c:v>0.12727820001996</c:v>
                </c:pt>
                <c:pt idx="113">
                  <c:v>0.12727820001996</c:v>
                </c:pt>
                <c:pt idx="114">
                  <c:v>0.12727820001996</c:v>
                </c:pt>
                <c:pt idx="115">
                  <c:v>0.12727820001996</c:v>
                </c:pt>
                <c:pt idx="116">
                  <c:v>0.12727820001996</c:v>
                </c:pt>
                <c:pt idx="117">
                  <c:v>0.12727820001996</c:v>
                </c:pt>
                <c:pt idx="118">
                  <c:v>0.12727820001996</c:v>
                </c:pt>
                <c:pt idx="119">
                  <c:v>0.126307929054068</c:v>
                </c:pt>
                <c:pt idx="120">
                  <c:v>0.125093619983043</c:v>
                </c:pt>
                <c:pt idx="121">
                  <c:v>0.122743605127286</c:v>
                </c:pt>
                <c:pt idx="122">
                  <c:v>0.120013597850363</c:v>
                </c:pt>
                <c:pt idx="123">
                  <c:v>0.12727820001996</c:v>
                </c:pt>
                <c:pt idx="124">
                  <c:v>0.126386085787525</c:v>
                </c:pt>
                <c:pt idx="125">
                  <c:v>0.125383277742351</c:v>
                </c:pt>
                <c:pt idx="126">
                  <c:v>0.123905321124837</c:v>
                </c:pt>
                <c:pt idx="127">
                  <c:v>0.123656456606857</c:v>
                </c:pt>
                <c:pt idx="128">
                  <c:v>0.123352728120902</c:v>
                </c:pt>
                <c:pt idx="129">
                  <c:v>0.12727820001996</c:v>
                </c:pt>
                <c:pt idx="130">
                  <c:v>0.12727820001996</c:v>
                </c:pt>
                <c:pt idx="131">
                  <c:v>0.12727820001996</c:v>
                </c:pt>
                <c:pt idx="132">
                  <c:v>0.125739933671976</c:v>
                </c:pt>
                <c:pt idx="133">
                  <c:v>0.12727820001996</c:v>
                </c:pt>
                <c:pt idx="134">
                  <c:v>0.125203707032194</c:v>
                </c:pt>
                <c:pt idx="135">
                  <c:v>0.12266835276835</c:v>
                </c:pt>
                <c:pt idx="136">
                  <c:v>0.122936139902282</c:v>
                </c:pt>
                <c:pt idx="137">
                  <c:v>0.122118880888012</c:v>
                </c:pt>
                <c:pt idx="138">
                  <c:v>0.119023630064634</c:v>
                </c:pt>
                <c:pt idx="139">
                  <c:v>0.122434403139923</c:v>
                </c:pt>
                <c:pt idx="140">
                  <c:v>0.12727820001996</c:v>
                </c:pt>
                <c:pt idx="141">
                  <c:v>0.12727820001996</c:v>
                </c:pt>
                <c:pt idx="142">
                  <c:v>0.12458839344708</c:v>
                </c:pt>
                <c:pt idx="143">
                  <c:v>0.122428842531457</c:v>
                </c:pt>
                <c:pt idx="144">
                  <c:v>0.119030345056827</c:v>
                </c:pt>
                <c:pt idx="145">
                  <c:v>0.115543632697651</c:v>
                </c:pt>
                <c:pt idx="146">
                  <c:v>0.112971015017336</c:v>
                </c:pt>
                <c:pt idx="147">
                  <c:v>0.109553545951189</c:v>
                </c:pt>
                <c:pt idx="148">
                  <c:v>0.106400360858716</c:v>
                </c:pt>
                <c:pt idx="149">
                  <c:v>0.102811113913488</c:v>
                </c:pt>
                <c:pt idx="150">
                  <c:v>0.0997572457018879</c:v>
                </c:pt>
                <c:pt idx="151">
                  <c:v>0.0974251690191935</c:v>
                </c:pt>
                <c:pt idx="152">
                  <c:v>0.12727820001996</c:v>
                </c:pt>
                <c:pt idx="153">
                  <c:v>0.12727820001996</c:v>
                </c:pt>
                <c:pt idx="154">
                  <c:v>0.12727820001996</c:v>
                </c:pt>
                <c:pt idx="155">
                  <c:v>0.125357050964779</c:v>
                </c:pt>
                <c:pt idx="156">
                  <c:v>0.12727820001996</c:v>
                </c:pt>
                <c:pt idx="157">
                  <c:v>0.12727820001996</c:v>
                </c:pt>
                <c:pt idx="158">
                  <c:v>0.12727820001996</c:v>
                </c:pt>
                <c:pt idx="159">
                  <c:v>0.126721090971124</c:v>
                </c:pt>
                <c:pt idx="160">
                  <c:v>0.123507605432599</c:v>
                </c:pt>
                <c:pt idx="161">
                  <c:v>0.120656881403858</c:v>
                </c:pt>
                <c:pt idx="162">
                  <c:v>0.12727820001996</c:v>
                </c:pt>
                <c:pt idx="163">
                  <c:v>0.12727820001996</c:v>
                </c:pt>
                <c:pt idx="164">
                  <c:v>0.12727820001996</c:v>
                </c:pt>
                <c:pt idx="165">
                  <c:v>0.126158590352856</c:v>
                </c:pt>
                <c:pt idx="166">
                  <c:v>0.123101810315247</c:v>
                </c:pt>
                <c:pt idx="167">
                  <c:v>0.125823226802203</c:v>
                </c:pt>
                <c:pt idx="168">
                  <c:v>0.12727820001996</c:v>
                </c:pt>
                <c:pt idx="169">
                  <c:v>0.125411657002842</c:v>
                </c:pt>
                <c:pt idx="170">
                  <c:v>0.122439985506634</c:v>
                </c:pt>
                <c:pt idx="171">
                  <c:v>0.117962363972529</c:v>
                </c:pt>
                <c:pt idx="172">
                  <c:v>0.112584882937826</c:v>
                </c:pt>
                <c:pt idx="173">
                  <c:v>0.106983818127984</c:v>
                </c:pt>
                <c:pt idx="174">
                  <c:v>0.101533900715181</c:v>
                </c:pt>
                <c:pt idx="175">
                  <c:v>0.0959669635655914</c:v>
                </c:pt>
                <c:pt idx="176">
                  <c:v>0.115033423985556</c:v>
                </c:pt>
                <c:pt idx="177">
                  <c:v>0.12727820001996</c:v>
                </c:pt>
                <c:pt idx="178">
                  <c:v>0.12727820001996</c:v>
                </c:pt>
                <c:pt idx="179">
                  <c:v>0.125134354068627</c:v>
                </c:pt>
                <c:pt idx="180">
                  <c:v>0.12727820001996</c:v>
                </c:pt>
                <c:pt idx="181">
                  <c:v>0.124935917880569</c:v>
                </c:pt>
                <c:pt idx="182">
                  <c:v>0.119649921949093</c:v>
                </c:pt>
                <c:pt idx="183">
                  <c:v>0.115023388653091</c:v>
                </c:pt>
                <c:pt idx="184">
                  <c:v>0.107959644932806</c:v>
                </c:pt>
                <c:pt idx="185">
                  <c:v>0.100576911709396</c:v>
                </c:pt>
                <c:pt idx="186">
                  <c:v>0.0929374694451778</c:v>
                </c:pt>
                <c:pt idx="187">
                  <c:v>0.0855624112695696</c:v>
                </c:pt>
                <c:pt idx="188">
                  <c:v>0.0771436207252288</c:v>
                </c:pt>
                <c:pt idx="189">
                  <c:v>0.0685153751864932</c:v>
                </c:pt>
                <c:pt idx="190">
                  <c:v>0.0645654474594298</c:v>
                </c:pt>
                <c:pt idx="191">
                  <c:v>0.0580515830862817</c:v>
                </c:pt>
                <c:pt idx="192">
                  <c:v>0.0515103073811132</c:v>
                </c:pt>
                <c:pt idx="193">
                  <c:v>0.0446955055196575</c:v>
                </c:pt>
                <c:pt idx="194">
                  <c:v>0.108485538365549</c:v>
                </c:pt>
                <c:pt idx="195">
                  <c:v>0.12727820001996</c:v>
                </c:pt>
                <c:pt idx="196">
                  <c:v>0.12727820001996</c:v>
                </c:pt>
                <c:pt idx="197">
                  <c:v>0.12727820001996</c:v>
                </c:pt>
                <c:pt idx="198">
                  <c:v>0.12727820001996</c:v>
                </c:pt>
                <c:pt idx="199">
                  <c:v>0.12727820001996</c:v>
                </c:pt>
                <c:pt idx="200">
                  <c:v>0.12727820001996</c:v>
                </c:pt>
                <c:pt idx="201">
                  <c:v>0.122083890815911</c:v>
                </c:pt>
                <c:pt idx="202">
                  <c:v>0.11914066366948</c:v>
                </c:pt>
                <c:pt idx="203">
                  <c:v>0.114855360630946</c:v>
                </c:pt>
                <c:pt idx="204">
                  <c:v>0.108254135835197</c:v>
                </c:pt>
                <c:pt idx="205">
                  <c:v>0.100358837612922</c:v>
                </c:pt>
                <c:pt idx="206">
                  <c:v>0.0933034266554651</c:v>
                </c:pt>
                <c:pt idx="207">
                  <c:v>0.0941447962480486</c:v>
                </c:pt>
                <c:pt idx="208">
                  <c:v>0.12727820001996</c:v>
                </c:pt>
                <c:pt idx="209">
                  <c:v>0.123532697684362</c:v>
                </c:pt>
                <c:pt idx="210">
                  <c:v>0.121607739827084</c:v>
                </c:pt>
                <c:pt idx="211">
                  <c:v>0.119874570995493</c:v>
                </c:pt>
                <c:pt idx="212">
                  <c:v>0.117148400943255</c:v>
                </c:pt>
                <c:pt idx="213">
                  <c:v>0.12727820001996</c:v>
                </c:pt>
                <c:pt idx="214">
                  <c:v>0.125190510362694</c:v>
                </c:pt>
                <c:pt idx="215">
                  <c:v>0.121042318584406</c:v>
                </c:pt>
                <c:pt idx="216">
                  <c:v>0.1155567530339</c:v>
                </c:pt>
                <c:pt idx="217">
                  <c:v>0.109407547988757</c:v>
                </c:pt>
                <c:pt idx="218">
                  <c:v>0.10120326611898</c:v>
                </c:pt>
                <c:pt idx="219">
                  <c:v>0.12727820001996</c:v>
                </c:pt>
                <c:pt idx="220">
                  <c:v>0.12727820001996</c:v>
                </c:pt>
                <c:pt idx="221">
                  <c:v>0.12727820001996</c:v>
                </c:pt>
                <c:pt idx="222">
                  <c:v>0.12727820001996</c:v>
                </c:pt>
                <c:pt idx="223">
                  <c:v>0.12413793134511</c:v>
                </c:pt>
                <c:pt idx="224">
                  <c:v>0.12727820001996</c:v>
                </c:pt>
                <c:pt idx="225">
                  <c:v>0.12727820001996</c:v>
                </c:pt>
                <c:pt idx="226">
                  <c:v>0.12727820001996</c:v>
                </c:pt>
                <c:pt idx="227">
                  <c:v>0.123131373988841</c:v>
                </c:pt>
                <c:pt idx="228">
                  <c:v>0.123380736030491</c:v>
                </c:pt>
                <c:pt idx="229">
                  <c:v>0.12727820001996</c:v>
                </c:pt>
                <c:pt idx="230">
                  <c:v>0.125664998306474</c:v>
                </c:pt>
                <c:pt idx="231">
                  <c:v>0.123764620276977</c:v>
                </c:pt>
                <c:pt idx="232">
                  <c:v>0.121279300111524</c:v>
                </c:pt>
                <c:pt idx="233">
                  <c:v>0.116035701614605</c:v>
                </c:pt>
                <c:pt idx="234">
                  <c:v>0.110545046431628</c:v>
                </c:pt>
                <c:pt idx="235">
                  <c:v>0.115276945003819</c:v>
                </c:pt>
                <c:pt idx="236">
                  <c:v>0.111087788163592</c:v>
                </c:pt>
                <c:pt idx="237">
                  <c:v>0.107129999561284</c:v>
                </c:pt>
                <c:pt idx="238">
                  <c:v>0.101467352144475</c:v>
                </c:pt>
                <c:pt idx="239">
                  <c:v>0.112660184748611</c:v>
                </c:pt>
                <c:pt idx="240">
                  <c:v>0.12727820001996</c:v>
                </c:pt>
                <c:pt idx="241">
                  <c:v>0.12727820001996</c:v>
                </c:pt>
                <c:pt idx="242">
                  <c:v>0.122881776328745</c:v>
                </c:pt>
                <c:pt idx="243">
                  <c:v>0.120175601991937</c:v>
                </c:pt>
                <c:pt idx="244">
                  <c:v>0.115913059692726</c:v>
                </c:pt>
                <c:pt idx="245">
                  <c:v>0.12727820001996</c:v>
                </c:pt>
                <c:pt idx="246">
                  <c:v>0.12727820001996</c:v>
                </c:pt>
                <c:pt idx="247">
                  <c:v>0.124587005482994</c:v>
                </c:pt>
                <c:pt idx="248">
                  <c:v>0.121904888396286</c:v>
                </c:pt>
                <c:pt idx="249">
                  <c:v>0.120428355181162</c:v>
                </c:pt>
                <c:pt idx="250">
                  <c:v>0.121435486584401</c:v>
                </c:pt>
                <c:pt idx="251">
                  <c:v>0.122068086003879</c:v>
                </c:pt>
                <c:pt idx="252">
                  <c:v>0.120229693596198</c:v>
                </c:pt>
                <c:pt idx="253">
                  <c:v>0.118635849893504</c:v>
                </c:pt>
                <c:pt idx="254">
                  <c:v>0.116417018677618</c:v>
                </c:pt>
                <c:pt idx="255">
                  <c:v>0.114883621215555</c:v>
                </c:pt>
                <c:pt idx="256">
                  <c:v>0.114149301072508</c:v>
                </c:pt>
                <c:pt idx="257">
                  <c:v>0.113475918760882</c:v>
                </c:pt>
                <c:pt idx="258">
                  <c:v>0.121123512297186</c:v>
                </c:pt>
                <c:pt idx="259">
                  <c:v>0.124086765145619</c:v>
                </c:pt>
                <c:pt idx="260">
                  <c:v>0.122344870581398</c:v>
                </c:pt>
                <c:pt idx="261">
                  <c:v>0.1199579169871</c:v>
                </c:pt>
                <c:pt idx="262">
                  <c:v>0.117005915774279</c:v>
                </c:pt>
                <c:pt idx="263">
                  <c:v>0.119157167484496</c:v>
                </c:pt>
                <c:pt idx="264">
                  <c:v>0.12727820001996</c:v>
                </c:pt>
                <c:pt idx="265">
                  <c:v>0.12727820001996</c:v>
                </c:pt>
                <c:pt idx="266">
                  <c:v>0.12727820001996</c:v>
                </c:pt>
                <c:pt idx="267">
                  <c:v>0.126861791950433</c:v>
                </c:pt>
                <c:pt idx="268">
                  <c:v>0.12489327590054</c:v>
                </c:pt>
                <c:pt idx="269">
                  <c:v>0.122373841101026</c:v>
                </c:pt>
                <c:pt idx="270">
                  <c:v>0.120324023682579</c:v>
                </c:pt>
              </c:numCache>
            </c:numRef>
          </c:val>
          <c:smooth val="0"/>
        </c:ser>
        <c:ser>
          <c:idx val="4"/>
          <c:order val="4"/>
          <c:tx>
            <c:strRef>
              <c:f>'SAMIR_ex_blé TLS'!$AY$14</c:f>
              <c:strCache>
                <c:ptCount val="1"/>
                <c:pt idx="0">
                  <c:v>W</c:v>
                </c:pt>
              </c:strCache>
            </c:strRef>
          </c:tx>
          <c:spPr>
            <a:ln w="31680" cap="rnd" cmpd="sng" algn="ctr">
              <a:solidFill>
                <a:srgbClr val="3D97AF"/>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TLS'!$A$15:$A$285</c:f>
              <c:numCache>
                <c:formatCode>dd/mm/yyyy</c:formatCode>
                <c:ptCount val="271"/>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TLS'!$AY$15:$AY$350</c:f>
              <c:numCache>
                <c:formatCode>0.00</c:formatCode>
                <c:ptCount val="33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pt idx="101">
                  <c:v>1</c:v>
                </c:pt>
                <c:pt idx="102">
                  <c:v>1</c:v>
                </c:pt>
                <c:pt idx="103">
                  <c:v>1</c:v>
                </c:pt>
                <c:pt idx="104">
                  <c:v>1</c:v>
                </c:pt>
                <c:pt idx="105">
                  <c:v>1</c:v>
                </c:pt>
                <c:pt idx="106">
                  <c:v>1</c:v>
                </c:pt>
                <c:pt idx="107">
                  <c:v>1</c:v>
                </c:pt>
                <c:pt idx="108">
                  <c:v>1</c:v>
                </c:pt>
                <c:pt idx="109">
                  <c:v>1</c:v>
                </c:pt>
                <c:pt idx="110">
                  <c:v>1</c:v>
                </c:pt>
                <c:pt idx="111">
                  <c:v>1</c:v>
                </c:pt>
                <c:pt idx="112">
                  <c:v>1</c:v>
                </c:pt>
                <c:pt idx="113">
                  <c:v>1</c:v>
                </c:pt>
                <c:pt idx="114">
                  <c:v>1</c:v>
                </c:pt>
                <c:pt idx="115">
                  <c:v>1</c:v>
                </c:pt>
                <c:pt idx="116">
                  <c:v>1</c:v>
                </c:pt>
                <c:pt idx="117">
                  <c:v>1</c:v>
                </c:pt>
                <c:pt idx="118">
                  <c:v>1</c:v>
                </c:pt>
                <c:pt idx="119">
                  <c:v>1</c:v>
                </c:pt>
                <c:pt idx="120">
                  <c:v>1</c:v>
                </c:pt>
                <c:pt idx="121">
                  <c:v>1</c:v>
                </c:pt>
                <c:pt idx="122">
                  <c:v>1</c:v>
                </c:pt>
                <c:pt idx="123">
                  <c:v>1</c:v>
                </c:pt>
                <c:pt idx="124">
                  <c:v>1</c:v>
                </c:pt>
                <c:pt idx="125">
                  <c:v>1</c:v>
                </c:pt>
                <c:pt idx="126">
                  <c:v>1</c:v>
                </c:pt>
                <c:pt idx="127">
                  <c:v>1</c:v>
                </c:pt>
                <c:pt idx="128">
                  <c:v>1</c:v>
                </c:pt>
                <c:pt idx="129">
                  <c:v>1</c:v>
                </c:pt>
                <c:pt idx="130">
                  <c:v>1</c:v>
                </c:pt>
                <c:pt idx="131">
                  <c:v>1</c:v>
                </c:pt>
                <c:pt idx="132">
                  <c:v>1</c:v>
                </c:pt>
                <c:pt idx="133">
                  <c:v>1</c:v>
                </c:pt>
                <c:pt idx="134">
                  <c:v>1</c:v>
                </c:pt>
                <c:pt idx="135">
                  <c:v>1</c:v>
                </c:pt>
                <c:pt idx="136">
                  <c:v>1</c:v>
                </c:pt>
                <c:pt idx="137">
                  <c:v>1</c:v>
                </c:pt>
                <c:pt idx="138">
                  <c:v>1</c:v>
                </c:pt>
                <c:pt idx="139">
                  <c:v>1</c:v>
                </c:pt>
                <c:pt idx="140">
                  <c:v>1</c:v>
                </c:pt>
                <c:pt idx="141">
                  <c:v>1</c:v>
                </c:pt>
                <c:pt idx="142">
                  <c:v>1</c:v>
                </c:pt>
                <c:pt idx="143">
                  <c:v>1</c:v>
                </c:pt>
                <c:pt idx="144">
                  <c:v>1</c:v>
                </c:pt>
                <c:pt idx="145">
                  <c:v>1</c:v>
                </c:pt>
                <c:pt idx="146">
                  <c:v>1</c:v>
                </c:pt>
                <c:pt idx="147">
                  <c:v>1</c:v>
                </c:pt>
                <c:pt idx="148">
                  <c:v>1</c:v>
                </c:pt>
                <c:pt idx="149">
                  <c:v>1</c:v>
                </c:pt>
                <c:pt idx="150">
                  <c:v>1</c:v>
                </c:pt>
                <c:pt idx="151">
                  <c:v>1</c:v>
                </c:pt>
                <c:pt idx="152">
                  <c:v>1</c:v>
                </c:pt>
                <c:pt idx="153">
                  <c:v>1</c:v>
                </c:pt>
                <c:pt idx="154">
                  <c:v>1</c:v>
                </c:pt>
                <c:pt idx="155">
                  <c:v>1</c:v>
                </c:pt>
                <c:pt idx="156">
                  <c:v>1</c:v>
                </c:pt>
                <c:pt idx="157">
                  <c:v>1</c:v>
                </c:pt>
                <c:pt idx="158">
                  <c:v>1</c:v>
                </c:pt>
                <c:pt idx="159">
                  <c:v>1</c:v>
                </c:pt>
                <c:pt idx="160">
                  <c:v>1</c:v>
                </c:pt>
                <c:pt idx="161">
                  <c:v>1</c:v>
                </c:pt>
                <c:pt idx="162">
                  <c:v>1</c:v>
                </c:pt>
                <c:pt idx="163">
                  <c:v>1</c:v>
                </c:pt>
                <c:pt idx="164">
                  <c:v>1</c:v>
                </c:pt>
                <c:pt idx="165">
                  <c:v>1</c:v>
                </c:pt>
                <c:pt idx="166">
                  <c:v>1</c:v>
                </c:pt>
                <c:pt idx="167">
                  <c:v>1</c:v>
                </c:pt>
                <c:pt idx="168">
                  <c:v>1</c:v>
                </c:pt>
                <c:pt idx="169">
                  <c:v>1</c:v>
                </c:pt>
                <c:pt idx="170">
                  <c:v>1</c:v>
                </c:pt>
                <c:pt idx="171">
                  <c:v>1</c:v>
                </c:pt>
                <c:pt idx="172">
                  <c:v>1</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1</c:v>
                </c:pt>
                <c:pt idx="255">
                  <c:v>1</c:v>
                </c:pt>
                <c:pt idx="256">
                  <c:v>1</c:v>
                </c:pt>
                <c:pt idx="257">
                  <c:v>1</c:v>
                </c:pt>
                <c:pt idx="258">
                  <c:v>1</c:v>
                </c:pt>
                <c:pt idx="259">
                  <c:v>1</c:v>
                </c:pt>
                <c:pt idx="260">
                  <c:v>1</c:v>
                </c:pt>
                <c:pt idx="261">
                  <c:v>1</c:v>
                </c:pt>
                <c:pt idx="262">
                  <c:v>1</c:v>
                </c:pt>
                <c:pt idx="263">
                  <c:v>1</c:v>
                </c:pt>
                <c:pt idx="264">
                  <c:v>1</c:v>
                </c:pt>
                <c:pt idx="265">
                  <c:v>1</c:v>
                </c:pt>
                <c:pt idx="266">
                  <c:v>1</c:v>
                </c:pt>
                <c:pt idx="267">
                  <c:v>1</c:v>
                </c:pt>
                <c:pt idx="268">
                  <c:v>1</c:v>
                </c:pt>
                <c:pt idx="269">
                  <c:v>1</c:v>
                </c:pt>
                <c:pt idx="270">
                  <c:v>1</c:v>
                </c:pt>
              </c:numCache>
            </c:numRef>
          </c:val>
          <c:smooth val="0"/>
        </c:ser>
        <c:ser>
          <c:idx val="5"/>
          <c:order val="5"/>
          <c:tx>
            <c:strRef>
              <c:f>'SAMIR_ex_blé TLS'!$AZ$14</c:f>
              <c:strCache>
                <c:ptCount val="1"/>
                <c:pt idx="0">
                  <c:v>Kei</c:v>
                </c:pt>
              </c:strCache>
            </c:strRef>
          </c:tx>
          <c:spPr>
            <a:ln w="28440" cap="rnd" cmpd="sng" algn="ctr">
              <a:solidFill>
                <a:srgbClr val="DB8238"/>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TLS'!$A$15:$A$285</c:f>
              <c:numCache>
                <c:formatCode>dd/mm/yyyy</c:formatCode>
                <c:ptCount val="271"/>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TLS'!$AZ$15:$AZ$350</c:f>
              <c:numCache>
                <c:formatCode>0.00</c:formatCode>
                <c:ptCount val="336"/>
                <c:pt idx="0">
                  <c:v>0.10366927843677</c:v>
                </c:pt>
                <c:pt idx="1">
                  <c:v>0.105966439438329</c:v>
                </c:pt>
                <c:pt idx="2">
                  <c:v>0.108341187030322</c:v>
                </c:pt>
                <c:pt idx="3">
                  <c:v>0.108077849054159</c:v>
                </c:pt>
                <c:pt idx="4">
                  <c:v>0.106620296207253</c:v>
                </c:pt>
                <c:pt idx="5">
                  <c:v>0.106467939809039</c:v>
                </c:pt>
                <c:pt idx="6">
                  <c:v>0.10495414553156</c:v>
                </c:pt>
                <c:pt idx="7">
                  <c:v>0.103166761574087</c:v>
                </c:pt>
                <c:pt idx="8">
                  <c:v>0.102470239309779</c:v>
                </c:pt>
                <c:pt idx="9">
                  <c:v>0.101589899019296</c:v>
                </c:pt>
                <c:pt idx="10">
                  <c:v>0.100378283575497</c:v>
                </c:pt>
                <c:pt idx="11">
                  <c:v>0.0996519617314699</c:v>
                </c:pt>
                <c:pt idx="12">
                  <c:v>0.0990495950996221</c:v>
                </c:pt>
                <c:pt idx="13">
                  <c:v>0.0967385848592495</c:v>
                </c:pt>
                <c:pt idx="14">
                  <c:v>0.0952999749804361</c:v>
                </c:pt>
                <c:pt idx="15">
                  <c:v>0.0915900283043878</c:v>
                </c:pt>
                <c:pt idx="16">
                  <c:v>0.0901859767314589</c:v>
                </c:pt>
                <c:pt idx="17">
                  <c:v>0.0886743757327759</c:v>
                </c:pt>
                <c:pt idx="18">
                  <c:v>0.0875773537453655</c:v>
                </c:pt>
                <c:pt idx="19">
                  <c:v>0.085877264112488</c:v>
                </c:pt>
                <c:pt idx="20">
                  <c:v>0.0835705157965011</c:v>
                </c:pt>
                <c:pt idx="21">
                  <c:v>0.0808217426287417</c:v>
                </c:pt>
                <c:pt idx="22">
                  <c:v>0.0784300631522956</c:v>
                </c:pt>
                <c:pt idx="23">
                  <c:v>0.0778933428347399</c:v>
                </c:pt>
                <c:pt idx="24">
                  <c:v>0.0858447715134397</c:v>
                </c:pt>
                <c:pt idx="25">
                  <c:v>0.0925440733166652</c:v>
                </c:pt>
                <c:pt idx="26">
                  <c:v>0.0902654006784818</c:v>
                </c:pt>
                <c:pt idx="27">
                  <c:v>0.0886467764443351</c:v>
                </c:pt>
                <c:pt idx="28">
                  <c:v>0.0865638369672827</c:v>
                </c:pt>
                <c:pt idx="29">
                  <c:v>0.083144577914948</c:v>
                </c:pt>
                <c:pt idx="30">
                  <c:v>0.0859226354926192</c:v>
                </c:pt>
                <c:pt idx="31">
                  <c:v>0.083752767823867</c:v>
                </c:pt>
                <c:pt idx="32">
                  <c:v>0.0887592445952427</c:v>
                </c:pt>
                <c:pt idx="33">
                  <c:v>0.086435087100194</c:v>
                </c:pt>
                <c:pt idx="34">
                  <c:v>0.0908909903530006</c:v>
                </c:pt>
                <c:pt idx="35">
                  <c:v>0.0885953100907956</c:v>
                </c:pt>
                <c:pt idx="36">
                  <c:v>0.0864909365171077</c:v>
                </c:pt>
                <c:pt idx="37">
                  <c:v>0.0852841693410461</c:v>
                </c:pt>
                <c:pt idx="38">
                  <c:v>0.0836562564976413</c:v>
                </c:pt>
                <c:pt idx="39">
                  <c:v>0.0816938523517021</c:v>
                </c:pt>
                <c:pt idx="40">
                  <c:v>0.0802409866966443</c:v>
                </c:pt>
                <c:pt idx="41">
                  <c:v>0.0792984924591229</c:v>
                </c:pt>
                <c:pt idx="42">
                  <c:v>0.08054979311626</c:v>
                </c:pt>
                <c:pt idx="43">
                  <c:v>0.0804184931540621</c:v>
                </c:pt>
                <c:pt idx="44">
                  <c:v>0.0800307898406978</c:v>
                </c:pt>
                <c:pt idx="45">
                  <c:v>0.0786238435045317</c:v>
                </c:pt>
                <c:pt idx="46">
                  <c:v>0.0800373624408209</c:v>
                </c:pt>
                <c:pt idx="47">
                  <c:v>0.0795117890357051</c:v>
                </c:pt>
                <c:pt idx="48">
                  <c:v>0.0781686377330107</c:v>
                </c:pt>
                <c:pt idx="49">
                  <c:v>0.0786473622879073</c:v>
                </c:pt>
                <c:pt idx="50">
                  <c:v>0.077882135533839</c:v>
                </c:pt>
                <c:pt idx="51">
                  <c:v>0.0773082154682877</c:v>
                </c:pt>
                <c:pt idx="52">
                  <c:v>0.0767342954027365</c:v>
                </c:pt>
                <c:pt idx="53">
                  <c:v>0.0761603753371852</c:v>
                </c:pt>
                <c:pt idx="54">
                  <c:v>0.0752218104323603</c:v>
                </c:pt>
                <c:pt idx="55">
                  <c:v>0.0747918892124216</c:v>
                </c:pt>
                <c:pt idx="56">
                  <c:v>0.0736581958616549</c:v>
                </c:pt>
                <c:pt idx="57">
                  <c:v>0.0731862406170012</c:v>
                </c:pt>
                <c:pt idx="58">
                  <c:v>0.0723665920703594</c:v>
                </c:pt>
                <c:pt idx="59">
                  <c:v>0.0716349275340622</c:v>
                </c:pt>
                <c:pt idx="60">
                  <c:v>0.0715335254233724</c:v>
                </c:pt>
                <c:pt idx="61">
                  <c:v>0.0711864014357411</c:v>
                </c:pt>
                <c:pt idx="62">
                  <c:v>0.0703245392044939</c:v>
                </c:pt>
                <c:pt idx="63">
                  <c:v>0.0698515348474004</c:v>
                </c:pt>
                <c:pt idx="64">
                  <c:v>0.0691302830025904</c:v>
                </c:pt>
                <c:pt idx="65">
                  <c:v>0.0683630855277571</c:v>
                </c:pt>
                <c:pt idx="66">
                  <c:v>0.0677157018026091</c:v>
                </c:pt>
                <c:pt idx="67">
                  <c:v>0.0669761476616478</c:v>
                </c:pt>
                <c:pt idx="68">
                  <c:v>0.0661635821922912</c:v>
                </c:pt>
                <c:pt idx="69">
                  <c:v>0.0653528812775334</c:v>
                </c:pt>
                <c:pt idx="70">
                  <c:v>0.064577625778006</c:v>
                </c:pt>
                <c:pt idx="71">
                  <c:v>0.0639807688949628</c:v>
                </c:pt>
                <c:pt idx="72">
                  <c:v>0.0631415215164582</c:v>
                </c:pt>
                <c:pt idx="73">
                  <c:v>0.0622273783642811</c:v>
                </c:pt>
                <c:pt idx="74">
                  <c:v>0.0607932669395262</c:v>
                </c:pt>
                <c:pt idx="75">
                  <c:v>0.0627689071409895</c:v>
                </c:pt>
                <c:pt idx="76">
                  <c:v>0.0621949870754383</c:v>
                </c:pt>
                <c:pt idx="77">
                  <c:v>0.0607128173192595</c:v>
                </c:pt>
                <c:pt idx="78">
                  <c:v>0.0608558402558187</c:v>
                </c:pt>
                <c:pt idx="79">
                  <c:v>0.0602819201902674</c:v>
                </c:pt>
                <c:pt idx="80">
                  <c:v>0.0592817043843639</c:v>
                </c:pt>
                <c:pt idx="81">
                  <c:v>0.0590336083539791</c:v>
                </c:pt>
                <c:pt idx="82">
                  <c:v>0.0583688533050966</c:v>
                </c:pt>
                <c:pt idx="83">
                  <c:v>0.0575731214337916</c:v>
                </c:pt>
                <c:pt idx="84">
                  <c:v>0.0565828001647614</c:v>
                </c:pt>
                <c:pt idx="85">
                  <c:v>0.0555095296851863</c:v>
                </c:pt>
                <c:pt idx="86">
                  <c:v>0.0543547533868767</c:v>
                </c:pt>
                <c:pt idx="87">
                  <c:v>0.0534896834274912</c:v>
                </c:pt>
                <c:pt idx="88">
                  <c:v>0.0526425742239024</c:v>
                </c:pt>
                <c:pt idx="89">
                  <c:v>0.0515909041238145</c:v>
                </c:pt>
                <c:pt idx="90">
                  <c:v>0.0506033799135059</c:v>
                </c:pt>
                <c:pt idx="91">
                  <c:v>0.0496498124760263</c:v>
                </c:pt>
                <c:pt idx="92">
                  <c:v>0.0485020324633277</c:v>
                </c:pt>
                <c:pt idx="93">
                  <c:v>0.0468934240010307</c:v>
                </c:pt>
                <c:pt idx="94">
                  <c:v>0.0458045328565349</c:v>
                </c:pt>
                <c:pt idx="95">
                  <c:v>0.0460682441828764</c:v>
                </c:pt>
                <c:pt idx="96">
                  <c:v>0.0480524315629437</c:v>
                </c:pt>
                <c:pt idx="97">
                  <c:v>0.0491861322562767</c:v>
                </c:pt>
                <c:pt idx="98">
                  <c:v>0.0485446469863118</c:v>
                </c:pt>
                <c:pt idx="99">
                  <c:v>0.047497744399773</c:v>
                </c:pt>
                <c:pt idx="100">
                  <c:v>0.0463623756597311</c:v>
                </c:pt>
                <c:pt idx="101">
                  <c:v>0.0454315635866771</c:v>
                </c:pt>
                <c:pt idx="102">
                  <c:v>0.044470054446599</c:v>
                </c:pt>
                <c:pt idx="103">
                  <c:v>0.0435357595478166</c:v>
                </c:pt>
                <c:pt idx="104">
                  <c:v>0.0430704730290809</c:v>
                </c:pt>
                <c:pt idx="105">
                  <c:v>0.0425115318785306</c:v>
                </c:pt>
                <c:pt idx="106">
                  <c:v>0.0416877460187533</c:v>
                </c:pt>
                <c:pt idx="107">
                  <c:v>0.0408899339099373</c:v>
                </c:pt>
                <c:pt idx="108">
                  <c:v>0.0398708390419171</c:v>
                </c:pt>
                <c:pt idx="109">
                  <c:v>0.0391893337456594</c:v>
                </c:pt>
                <c:pt idx="110">
                  <c:v>0.0401883332595875</c:v>
                </c:pt>
                <c:pt idx="111">
                  <c:v>0.0407686379615251</c:v>
                </c:pt>
                <c:pt idx="112">
                  <c:v>0.0401283820902757</c:v>
                </c:pt>
                <c:pt idx="113">
                  <c:v>0.0394294911419055</c:v>
                </c:pt>
                <c:pt idx="114">
                  <c:v>0.0388555710763542</c:v>
                </c:pt>
                <c:pt idx="115">
                  <c:v>0.038281651010803</c:v>
                </c:pt>
                <c:pt idx="116">
                  <c:v>0.0377077309452517</c:v>
                </c:pt>
                <c:pt idx="117">
                  <c:v>0.0371338108797005</c:v>
                </c:pt>
                <c:pt idx="118">
                  <c:v>0.0363685841256322</c:v>
                </c:pt>
                <c:pt idx="119">
                  <c:v>0.0353235543951402</c:v>
                </c:pt>
                <c:pt idx="120">
                  <c:v>0.0342062308439788</c:v>
                </c:pt>
                <c:pt idx="121">
                  <c:v>0.0327675924695402</c:v>
                </c:pt>
                <c:pt idx="122">
                  <c:v>0.0312324403572842</c:v>
                </c:pt>
                <c:pt idx="123">
                  <c:v>0.033498983797876</c:v>
                </c:pt>
                <c:pt idx="124">
                  <c:v>0.03241152790118</c:v>
                </c:pt>
                <c:pt idx="125">
                  <c:v>0.0314132360720415</c:v>
                </c:pt>
                <c:pt idx="126">
                  <c:v>0.0303455092906801</c:v>
                </c:pt>
                <c:pt idx="127">
                  <c:v>0.0296423971420345</c:v>
                </c:pt>
                <c:pt idx="128">
                  <c:v>0.0289287204081959</c:v>
                </c:pt>
                <c:pt idx="129">
                  <c:v>0.0296728500275343</c:v>
                </c:pt>
                <c:pt idx="130">
                  <c:v>0.0290989299619831</c:v>
                </c:pt>
                <c:pt idx="131">
                  <c:v>0.0285250098964318</c:v>
                </c:pt>
                <c:pt idx="132">
                  <c:v>0.0274776160369963</c:v>
                </c:pt>
                <c:pt idx="133">
                  <c:v>0.0273771697653293</c:v>
                </c:pt>
                <c:pt idx="134">
                  <c:v>0.0260061530605348</c:v>
                </c:pt>
                <c:pt idx="135">
                  <c:v>0.0247296100648961</c:v>
                </c:pt>
                <c:pt idx="136">
                  <c:v>0.0240931468497107</c:v>
                </c:pt>
                <c:pt idx="137">
                  <c:v>0.0232829220902446</c:v>
                </c:pt>
                <c:pt idx="138">
                  <c:v>0.0219551870823238</c:v>
                </c:pt>
                <c:pt idx="139">
                  <c:v>0.0217398718933815</c:v>
                </c:pt>
                <c:pt idx="140">
                  <c:v>0.0229771159294364</c:v>
                </c:pt>
                <c:pt idx="141">
                  <c:v>0.0224031958638852</c:v>
                </c:pt>
                <c:pt idx="142">
                  <c:v>0.0211819947573387</c:v>
                </c:pt>
                <c:pt idx="143">
                  <c:v>0.0201268295727404</c:v>
                </c:pt>
                <c:pt idx="144">
                  <c:v>0.0186554998220674</c:v>
                </c:pt>
                <c:pt idx="145">
                  <c:v>0.017402559186859</c:v>
                </c:pt>
                <c:pt idx="146">
                  <c:v>0.0163519255884738</c:v>
                </c:pt>
                <c:pt idx="147">
                  <c:v>0.0152170762523466</c:v>
                </c:pt>
                <c:pt idx="148">
                  <c:v>0.0141817767995073</c:v>
                </c:pt>
                <c:pt idx="149">
                  <c:v>0.013117085828143</c:v>
                </c:pt>
                <c:pt idx="150">
                  <c:v>0.0120550445415038</c:v>
                </c:pt>
                <c:pt idx="151">
                  <c:v>0.0112488169509637</c:v>
                </c:pt>
                <c:pt idx="152">
                  <c:v>0.0157074617657873</c:v>
                </c:pt>
                <c:pt idx="153">
                  <c:v>0.0151335417002361</c:v>
                </c:pt>
                <c:pt idx="154">
                  <c:v>0.0145596216346849</c:v>
                </c:pt>
                <c:pt idx="155">
                  <c:v>0.0135046269303579</c:v>
                </c:pt>
                <c:pt idx="156">
                  <c:v>0.0132204748150653</c:v>
                </c:pt>
                <c:pt idx="157">
                  <c:v>0.012646554749514</c:v>
                </c:pt>
                <c:pt idx="158">
                  <c:v>0.0120726346839627</c:v>
                </c:pt>
                <c:pt idx="159">
                  <c:v>0.0113957368801165</c:v>
                </c:pt>
                <c:pt idx="160">
                  <c:v>0.0102477896674424</c:v>
                </c:pt>
                <c:pt idx="161">
                  <c:v>0.0093265269047452</c:v>
                </c:pt>
                <c:pt idx="162">
                  <c:v>0.00958564773324068</c:v>
                </c:pt>
                <c:pt idx="163">
                  <c:v>0.00901172766768944</c:v>
                </c:pt>
                <c:pt idx="164">
                  <c:v>0.00843780760213821</c:v>
                </c:pt>
                <c:pt idx="165">
                  <c:v>0.00754792213935885</c:v>
                </c:pt>
                <c:pt idx="166">
                  <c:v>0.00672561273154876</c:v>
                </c:pt>
                <c:pt idx="167">
                  <c:v>0.00621503114620671</c:v>
                </c:pt>
                <c:pt idx="168">
                  <c:v>0.00578470469267531</c:v>
                </c:pt>
                <c:pt idx="169">
                  <c:v>0.00508577729782396</c:v>
                </c:pt>
                <c:pt idx="170">
                  <c:v>0.00436445045837651</c:v>
                </c:pt>
                <c:pt idx="171">
                  <c:v>0.00343524271406969</c:v>
                </c:pt>
                <c:pt idx="172">
                  <c:v>0.00267872252741595</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0.104307666147307</c:v>
                </c:pt>
                <c:pt idx="255">
                  <c:v>0.104001580349979</c:v>
                </c:pt>
                <c:pt idx="256">
                  <c:v>0.0998831565784485</c:v>
                </c:pt>
                <c:pt idx="257">
                  <c:v>0.097921286002269</c:v>
                </c:pt>
                <c:pt idx="258">
                  <c:v>0.102544215473584</c:v>
                </c:pt>
                <c:pt idx="259">
                  <c:v>0.1030068313203</c:v>
                </c:pt>
                <c:pt idx="260">
                  <c:v>0.0990632370517517</c:v>
                </c:pt>
                <c:pt idx="261">
                  <c:v>0.0943793896648791</c:v>
                </c:pt>
                <c:pt idx="262">
                  <c:v>0.0951706207552491</c:v>
                </c:pt>
                <c:pt idx="263">
                  <c:v>0.0950264847199083</c:v>
                </c:pt>
                <c:pt idx="264">
                  <c:v>0.106698922516173</c:v>
                </c:pt>
                <c:pt idx="265">
                  <c:v>0.119013073565012</c:v>
                </c:pt>
                <c:pt idx="266">
                  <c:v>0.119013073565012</c:v>
                </c:pt>
                <c:pt idx="267">
                  <c:v>0.117264947220787</c:v>
                </c:pt>
                <c:pt idx="268">
                  <c:v>0.112902460140777</c:v>
                </c:pt>
                <c:pt idx="269">
                  <c:v>0.107525589147871</c:v>
                </c:pt>
                <c:pt idx="270">
                  <c:v>0.103521917934738</c:v>
                </c:pt>
              </c:numCache>
            </c:numRef>
          </c:val>
          <c:smooth val="0"/>
        </c:ser>
        <c:ser>
          <c:idx val="6"/>
          <c:order val="6"/>
          <c:tx>
            <c:strRef>
              <c:f>'SAMIR_ex_blé TLS'!$BA$14</c:f>
              <c:strCache>
                <c:ptCount val="1"/>
                <c:pt idx="0">
                  <c:v>Kep</c:v>
                </c:pt>
              </c:strCache>
            </c:strRef>
          </c:tx>
          <c:spPr>
            <a:ln w="28440" cap="rnd" cmpd="sng" algn="ctr">
              <a:solidFill>
                <a:srgbClr val="8EA5CA"/>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cat>
            <c:numRef>
              <c:f>'SAMIR_ex_blé TLS'!$A$15:$A$285</c:f>
              <c:numCache>
                <c:formatCode>dd/mm/yyyy</c:formatCode>
                <c:ptCount val="271"/>
                <c:pt idx="0" c:formatCode="dd/mm/yyyy">
                  <c:v>39008</c:v>
                </c:pt>
                <c:pt idx="1" c:formatCode="dd/mm/yyyy">
                  <c:v>39009</c:v>
                </c:pt>
                <c:pt idx="2" c:formatCode="dd/mm/yyyy">
                  <c:v>39010</c:v>
                </c:pt>
                <c:pt idx="3" c:formatCode="dd/mm/yyyy">
                  <c:v>39011</c:v>
                </c:pt>
                <c:pt idx="4" c:formatCode="dd/mm/yyyy">
                  <c:v>39012</c:v>
                </c:pt>
                <c:pt idx="5" c:formatCode="dd/mm/yyyy">
                  <c:v>39013</c:v>
                </c:pt>
                <c:pt idx="6" c:formatCode="dd/mm/yyyy">
                  <c:v>39014</c:v>
                </c:pt>
                <c:pt idx="7" c:formatCode="dd/mm/yyyy">
                  <c:v>39015</c:v>
                </c:pt>
                <c:pt idx="8" c:formatCode="dd/mm/yyyy">
                  <c:v>39016</c:v>
                </c:pt>
                <c:pt idx="9" c:formatCode="dd/mm/yyyy">
                  <c:v>39017</c:v>
                </c:pt>
                <c:pt idx="10" c:formatCode="dd/mm/yyyy">
                  <c:v>39018</c:v>
                </c:pt>
                <c:pt idx="11" c:formatCode="dd/mm/yyyy">
                  <c:v>39019</c:v>
                </c:pt>
                <c:pt idx="12" c:formatCode="dd/mm/yyyy">
                  <c:v>39020</c:v>
                </c:pt>
                <c:pt idx="13" c:formatCode="dd/mm/yyyy">
                  <c:v>39021</c:v>
                </c:pt>
                <c:pt idx="14" c:formatCode="dd/mm/yyyy">
                  <c:v>39022</c:v>
                </c:pt>
                <c:pt idx="15" c:formatCode="dd/mm/yyyy">
                  <c:v>39023</c:v>
                </c:pt>
                <c:pt idx="16" c:formatCode="dd/mm/yyyy">
                  <c:v>39024</c:v>
                </c:pt>
                <c:pt idx="17" c:formatCode="dd/mm/yyyy">
                  <c:v>39025</c:v>
                </c:pt>
                <c:pt idx="18" c:formatCode="dd/mm/yyyy">
                  <c:v>39026</c:v>
                </c:pt>
                <c:pt idx="19" c:formatCode="dd/mm/yyyy">
                  <c:v>39027</c:v>
                </c:pt>
                <c:pt idx="20" c:formatCode="dd/mm/yyyy">
                  <c:v>39028</c:v>
                </c:pt>
                <c:pt idx="21" c:formatCode="dd/mm/yyyy">
                  <c:v>39029</c:v>
                </c:pt>
                <c:pt idx="22" c:formatCode="dd/mm/yyyy">
                  <c:v>39030</c:v>
                </c:pt>
                <c:pt idx="23" c:formatCode="dd/mm/yyyy">
                  <c:v>39031</c:v>
                </c:pt>
                <c:pt idx="24" c:formatCode="dd/mm/yyyy">
                  <c:v>39032</c:v>
                </c:pt>
                <c:pt idx="25" c:formatCode="dd/mm/yyyy">
                  <c:v>39033</c:v>
                </c:pt>
                <c:pt idx="26" c:formatCode="dd/mm/yyyy">
                  <c:v>39034</c:v>
                </c:pt>
                <c:pt idx="27" c:formatCode="dd/mm/yyyy">
                  <c:v>39035</c:v>
                </c:pt>
                <c:pt idx="28" c:formatCode="dd/mm/yyyy">
                  <c:v>39036</c:v>
                </c:pt>
                <c:pt idx="29" c:formatCode="dd/mm/yyyy">
                  <c:v>39037</c:v>
                </c:pt>
                <c:pt idx="30" c:formatCode="dd/mm/yyyy">
                  <c:v>39038</c:v>
                </c:pt>
                <c:pt idx="31" c:formatCode="dd/mm/yyyy">
                  <c:v>39039</c:v>
                </c:pt>
                <c:pt idx="32" c:formatCode="dd/mm/yyyy">
                  <c:v>39040</c:v>
                </c:pt>
                <c:pt idx="33" c:formatCode="dd/mm/yyyy">
                  <c:v>39041</c:v>
                </c:pt>
                <c:pt idx="34" c:formatCode="dd/mm/yyyy">
                  <c:v>39042</c:v>
                </c:pt>
                <c:pt idx="35" c:formatCode="dd/mm/yyyy">
                  <c:v>39043</c:v>
                </c:pt>
                <c:pt idx="36" c:formatCode="dd/mm/yyyy">
                  <c:v>39044</c:v>
                </c:pt>
                <c:pt idx="37" c:formatCode="dd/mm/yyyy">
                  <c:v>39045</c:v>
                </c:pt>
                <c:pt idx="38" c:formatCode="dd/mm/yyyy">
                  <c:v>39046</c:v>
                </c:pt>
                <c:pt idx="39" c:formatCode="dd/mm/yyyy">
                  <c:v>39047</c:v>
                </c:pt>
                <c:pt idx="40" c:formatCode="dd/mm/yyyy">
                  <c:v>39048</c:v>
                </c:pt>
                <c:pt idx="41" c:formatCode="dd/mm/yyyy">
                  <c:v>39049</c:v>
                </c:pt>
                <c:pt idx="42" c:formatCode="dd/mm/yyyy">
                  <c:v>39050</c:v>
                </c:pt>
                <c:pt idx="43" c:formatCode="dd/mm/yyyy">
                  <c:v>39051</c:v>
                </c:pt>
                <c:pt idx="44" c:formatCode="dd/mm/yyyy">
                  <c:v>39052</c:v>
                </c:pt>
                <c:pt idx="45" c:formatCode="dd/mm/yyyy">
                  <c:v>39053</c:v>
                </c:pt>
                <c:pt idx="46" c:formatCode="dd/mm/yyyy">
                  <c:v>39054</c:v>
                </c:pt>
                <c:pt idx="47" c:formatCode="dd/mm/yyyy">
                  <c:v>39055</c:v>
                </c:pt>
                <c:pt idx="48" c:formatCode="dd/mm/yyyy">
                  <c:v>39056</c:v>
                </c:pt>
                <c:pt idx="49" c:formatCode="dd/mm/yyyy">
                  <c:v>39057</c:v>
                </c:pt>
                <c:pt idx="50" c:formatCode="dd/mm/yyyy">
                  <c:v>39058</c:v>
                </c:pt>
                <c:pt idx="51" c:formatCode="dd/mm/yyyy">
                  <c:v>39059</c:v>
                </c:pt>
                <c:pt idx="52" c:formatCode="dd/mm/yyyy">
                  <c:v>39060</c:v>
                </c:pt>
                <c:pt idx="53" c:formatCode="dd/mm/yyyy">
                  <c:v>39061</c:v>
                </c:pt>
                <c:pt idx="54" c:formatCode="dd/mm/yyyy">
                  <c:v>39062</c:v>
                </c:pt>
                <c:pt idx="55" c:formatCode="dd/mm/yyyy">
                  <c:v>39063</c:v>
                </c:pt>
                <c:pt idx="56" c:formatCode="dd/mm/yyyy">
                  <c:v>39064</c:v>
                </c:pt>
                <c:pt idx="57" c:formatCode="dd/mm/yyyy">
                  <c:v>39065</c:v>
                </c:pt>
                <c:pt idx="58" c:formatCode="dd/mm/yyyy">
                  <c:v>39066</c:v>
                </c:pt>
                <c:pt idx="59" c:formatCode="dd/mm/yyyy">
                  <c:v>39067</c:v>
                </c:pt>
                <c:pt idx="60" c:formatCode="dd/mm/yyyy">
                  <c:v>39068</c:v>
                </c:pt>
                <c:pt idx="61" c:formatCode="dd/mm/yyyy">
                  <c:v>39069</c:v>
                </c:pt>
                <c:pt idx="62" c:formatCode="dd/mm/yyyy">
                  <c:v>39070</c:v>
                </c:pt>
                <c:pt idx="63" c:formatCode="dd/mm/yyyy">
                  <c:v>39071</c:v>
                </c:pt>
                <c:pt idx="64" c:formatCode="dd/mm/yyyy">
                  <c:v>39072</c:v>
                </c:pt>
                <c:pt idx="65" c:formatCode="dd/mm/yyyy">
                  <c:v>39073</c:v>
                </c:pt>
                <c:pt idx="66" c:formatCode="dd/mm/yyyy">
                  <c:v>39074</c:v>
                </c:pt>
                <c:pt idx="67" c:formatCode="dd/mm/yyyy">
                  <c:v>39075</c:v>
                </c:pt>
                <c:pt idx="68" c:formatCode="dd/mm/yyyy">
                  <c:v>39076</c:v>
                </c:pt>
                <c:pt idx="69" c:formatCode="dd/mm/yyyy">
                  <c:v>39077</c:v>
                </c:pt>
                <c:pt idx="70" c:formatCode="dd/mm/yyyy">
                  <c:v>39078</c:v>
                </c:pt>
                <c:pt idx="71" c:formatCode="dd/mm/yyyy">
                  <c:v>39079</c:v>
                </c:pt>
                <c:pt idx="72" c:formatCode="dd/mm/yyyy">
                  <c:v>39080</c:v>
                </c:pt>
                <c:pt idx="73" c:formatCode="dd/mm/yyyy">
                  <c:v>39081</c:v>
                </c:pt>
                <c:pt idx="74" c:formatCode="dd/mm/yyyy">
                  <c:v>39082</c:v>
                </c:pt>
                <c:pt idx="75" c:formatCode="dd/mm/yyyy">
                  <c:v>39083</c:v>
                </c:pt>
                <c:pt idx="76" c:formatCode="dd/mm/yyyy">
                  <c:v>39084</c:v>
                </c:pt>
                <c:pt idx="77" c:formatCode="dd/mm/yyyy">
                  <c:v>39085</c:v>
                </c:pt>
                <c:pt idx="78" c:formatCode="dd/mm/yyyy">
                  <c:v>39086</c:v>
                </c:pt>
                <c:pt idx="79" c:formatCode="dd/mm/yyyy">
                  <c:v>39087</c:v>
                </c:pt>
                <c:pt idx="80" c:formatCode="dd/mm/yyyy">
                  <c:v>39088</c:v>
                </c:pt>
                <c:pt idx="81" c:formatCode="dd/mm/yyyy">
                  <c:v>39089</c:v>
                </c:pt>
                <c:pt idx="82" c:formatCode="dd/mm/yyyy">
                  <c:v>39090</c:v>
                </c:pt>
                <c:pt idx="83" c:formatCode="dd/mm/yyyy">
                  <c:v>39091</c:v>
                </c:pt>
                <c:pt idx="84" c:formatCode="dd/mm/yyyy">
                  <c:v>39092</c:v>
                </c:pt>
                <c:pt idx="85" c:formatCode="dd/mm/yyyy">
                  <c:v>39093</c:v>
                </c:pt>
                <c:pt idx="86" c:formatCode="dd/mm/yyyy">
                  <c:v>39094</c:v>
                </c:pt>
                <c:pt idx="87" c:formatCode="dd/mm/yyyy">
                  <c:v>39095</c:v>
                </c:pt>
                <c:pt idx="88" c:formatCode="dd/mm/yyyy">
                  <c:v>39096</c:v>
                </c:pt>
                <c:pt idx="89" c:formatCode="dd/mm/yyyy">
                  <c:v>39097</c:v>
                </c:pt>
                <c:pt idx="90" c:formatCode="dd/mm/yyyy">
                  <c:v>39098</c:v>
                </c:pt>
                <c:pt idx="91" c:formatCode="dd/mm/yyyy">
                  <c:v>39099</c:v>
                </c:pt>
                <c:pt idx="92" c:formatCode="dd/mm/yyyy">
                  <c:v>39100</c:v>
                </c:pt>
                <c:pt idx="93" c:formatCode="dd/mm/yyyy">
                  <c:v>39101</c:v>
                </c:pt>
                <c:pt idx="94" c:formatCode="dd/mm/yyyy">
                  <c:v>39102</c:v>
                </c:pt>
                <c:pt idx="95" c:formatCode="dd/mm/yyyy">
                  <c:v>39103</c:v>
                </c:pt>
                <c:pt idx="96" c:formatCode="dd/mm/yyyy">
                  <c:v>39104</c:v>
                </c:pt>
                <c:pt idx="97" c:formatCode="dd/mm/yyyy">
                  <c:v>39105</c:v>
                </c:pt>
                <c:pt idx="98" c:formatCode="dd/mm/yyyy">
                  <c:v>39106</c:v>
                </c:pt>
                <c:pt idx="99" c:formatCode="dd/mm/yyyy">
                  <c:v>39107</c:v>
                </c:pt>
                <c:pt idx="100" c:formatCode="dd/mm/yyyy">
                  <c:v>39108</c:v>
                </c:pt>
                <c:pt idx="101" c:formatCode="dd/mm/yyyy">
                  <c:v>39109</c:v>
                </c:pt>
                <c:pt idx="102" c:formatCode="dd/mm/yyyy">
                  <c:v>39110</c:v>
                </c:pt>
                <c:pt idx="103" c:formatCode="dd/mm/yyyy">
                  <c:v>39111</c:v>
                </c:pt>
                <c:pt idx="104" c:formatCode="dd/mm/yyyy">
                  <c:v>39112</c:v>
                </c:pt>
                <c:pt idx="105" c:formatCode="dd/mm/yyyy">
                  <c:v>39113</c:v>
                </c:pt>
                <c:pt idx="106" c:formatCode="dd/mm/yyyy">
                  <c:v>39114</c:v>
                </c:pt>
                <c:pt idx="107" c:formatCode="dd/mm/yyyy">
                  <c:v>39115</c:v>
                </c:pt>
                <c:pt idx="108" c:formatCode="dd/mm/yyyy">
                  <c:v>39116</c:v>
                </c:pt>
                <c:pt idx="109" c:formatCode="dd/mm/yyyy">
                  <c:v>39117</c:v>
                </c:pt>
                <c:pt idx="110" c:formatCode="dd/mm/yyyy">
                  <c:v>39118</c:v>
                </c:pt>
                <c:pt idx="111" c:formatCode="dd/mm/yyyy">
                  <c:v>39119</c:v>
                </c:pt>
                <c:pt idx="112" c:formatCode="dd/mm/yyyy">
                  <c:v>39120</c:v>
                </c:pt>
                <c:pt idx="113" c:formatCode="dd/mm/yyyy">
                  <c:v>39121</c:v>
                </c:pt>
                <c:pt idx="114" c:formatCode="dd/mm/yyyy">
                  <c:v>39122</c:v>
                </c:pt>
                <c:pt idx="115" c:formatCode="dd/mm/yyyy">
                  <c:v>39123</c:v>
                </c:pt>
                <c:pt idx="116" c:formatCode="dd/mm/yyyy">
                  <c:v>39124</c:v>
                </c:pt>
                <c:pt idx="117" c:formatCode="dd/mm/yyyy">
                  <c:v>39125</c:v>
                </c:pt>
                <c:pt idx="118" c:formatCode="dd/mm/yyyy">
                  <c:v>39126</c:v>
                </c:pt>
                <c:pt idx="119" c:formatCode="dd/mm/yyyy">
                  <c:v>39127</c:v>
                </c:pt>
                <c:pt idx="120" c:formatCode="dd/mm/yyyy">
                  <c:v>39128</c:v>
                </c:pt>
                <c:pt idx="121" c:formatCode="dd/mm/yyyy">
                  <c:v>39129</c:v>
                </c:pt>
                <c:pt idx="122" c:formatCode="dd/mm/yyyy">
                  <c:v>39130</c:v>
                </c:pt>
                <c:pt idx="123" c:formatCode="dd/mm/yyyy">
                  <c:v>39131</c:v>
                </c:pt>
                <c:pt idx="124" c:formatCode="dd/mm/yyyy">
                  <c:v>39132</c:v>
                </c:pt>
                <c:pt idx="125" c:formatCode="dd/mm/yyyy">
                  <c:v>39133</c:v>
                </c:pt>
                <c:pt idx="126" c:formatCode="dd/mm/yyyy">
                  <c:v>39134</c:v>
                </c:pt>
                <c:pt idx="127" c:formatCode="dd/mm/yyyy">
                  <c:v>39135</c:v>
                </c:pt>
                <c:pt idx="128" c:formatCode="dd/mm/yyyy">
                  <c:v>39136</c:v>
                </c:pt>
                <c:pt idx="129" c:formatCode="dd/mm/yyyy">
                  <c:v>39137</c:v>
                </c:pt>
                <c:pt idx="130" c:formatCode="dd/mm/yyyy">
                  <c:v>39138</c:v>
                </c:pt>
                <c:pt idx="131" c:formatCode="dd/mm/yyyy">
                  <c:v>39139</c:v>
                </c:pt>
                <c:pt idx="132" c:formatCode="dd/mm/yyyy">
                  <c:v>39140</c:v>
                </c:pt>
                <c:pt idx="133" c:formatCode="dd/mm/yyyy">
                  <c:v>39141</c:v>
                </c:pt>
                <c:pt idx="134" c:formatCode="dd/mm/yyyy">
                  <c:v>39142</c:v>
                </c:pt>
                <c:pt idx="135" c:formatCode="dd/mm/yyyy">
                  <c:v>39143</c:v>
                </c:pt>
                <c:pt idx="136" c:formatCode="dd/mm/yyyy">
                  <c:v>39144</c:v>
                </c:pt>
                <c:pt idx="137" c:formatCode="dd/mm/yyyy">
                  <c:v>39145</c:v>
                </c:pt>
                <c:pt idx="138" c:formatCode="dd/mm/yyyy">
                  <c:v>39146</c:v>
                </c:pt>
                <c:pt idx="139" c:formatCode="dd/mm/yyyy">
                  <c:v>39147</c:v>
                </c:pt>
                <c:pt idx="140" c:formatCode="dd/mm/yyyy">
                  <c:v>39148</c:v>
                </c:pt>
                <c:pt idx="141" c:formatCode="dd/mm/yyyy">
                  <c:v>39149</c:v>
                </c:pt>
                <c:pt idx="142" c:formatCode="dd/mm/yyyy">
                  <c:v>39150</c:v>
                </c:pt>
                <c:pt idx="143" c:formatCode="dd/mm/yyyy">
                  <c:v>39151</c:v>
                </c:pt>
                <c:pt idx="144" c:formatCode="dd/mm/yyyy">
                  <c:v>39152</c:v>
                </c:pt>
                <c:pt idx="145" c:formatCode="dd/mm/yyyy">
                  <c:v>39153</c:v>
                </c:pt>
                <c:pt idx="146" c:formatCode="dd/mm/yyyy">
                  <c:v>39154</c:v>
                </c:pt>
                <c:pt idx="147" c:formatCode="dd/mm/yyyy">
                  <c:v>39155</c:v>
                </c:pt>
                <c:pt idx="148" c:formatCode="dd/mm/yyyy">
                  <c:v>39156</c:v>
                </c:pt>
                <c:pt idx="149" c:formatCode="dd/mm/yyyy">
                  <c:v>39157</c:v>
                </c:pt>
                <c:pt idx="150" c:formatCode="dd/mm/yyyy">
                  <c:v>39158</c:v>
                </c:pt>
                <c:pt idx="151" c:formatCode="dd/mm/yyyy">
                  <c:v>39159</c:v>
                </c:pt>
                <c:pt idx="152" c:formatCode="dd/mm/yyyy">
                  <c:v>39160</c:v>
                </c:pt>
                <c:pt idx="153" c:formatCode="dd/mm/yyyy">
                  <c:v>39161</c:v>
                </c:pt>
                <c:pt idx="154" c:formatCode="dd/mm/yyyy">
                  <c:v>39162</c:v>
                </c:pt>
                <c:pt idx="155" c:formatCode="dd/mm/yyyy">
                  <c:v>39163</c:v>
                </c:pt>
                <c:pt idx="156" c:formatCode="dd/mm/yyyy">
                  <c:v>39164</c:v>
                </c:pt>
                <c:pt idx="157" c:formatCode="dd/mm/yyyy">
                  <c:v>39165</c:v>
                </c:pt>
                <c:pt idx="158" c:formatCode="dd/mm/yyyy">
                  <c:v>39166</c:v>
                </c:pt>
                <c:pt idx="159" c:formatCode="dd/mm/yyyy">
                  <c:v>39167</c:v>
                </c:pt>
                <c:pt idx="160" c:formatCode="dd/mm/yyyy">
                  <c:v>39168</c:v>
                </c:pt>
                <c:pt idx="161" c:formatCode="dd/mm/yyyy">
                  <c:v>39169</c:v>
                </c:pt>
                <c:pt idx="162" c:formatCode="dd/mm/yyyy">
                  <c:v>39170</c:v>
                </c:pt>
                <c:pt idx="163" c:formatCode="dd/mm/yyyy">
                  <c:v>39171</c:v>
                </c:pt>
                <c:pt idx="164" c:formatCode="dd/mm/yyyy">
                  <c:v>39172</c:v>
                </c:pt>
                <c:pt idx="165" c:formatCode="dd/mm/yyyy">
                  <c:v>39173</c:v>
                </c:pt>
                <c:pt idx="166" c:formatCode="dd/mm/yyyy">
                  <c:v>39174</c:v>
                </c:pt>
                <c:pt idx="167" c:formatCode="dd/mm/yyyy">
                  <c:v>39175</c:v>
                </c:pt>
                <c:pt idx="168" c:formatCode="dd/mm/yyyy">
                  <c:v>39176</c:v>
                </c:pt>
                <c:pt idx="169" c:formatCode="dd/mm/yyyy">
                  <c:v>39177</c:v>
                </c:pt>
                <c:pt idx="170" c:formatCode="dd/mm/yyyy">
                  <c:v>39178</c:v>
                </c:pt>
                <c:pt idx="171" c:formatCode="dd/mm/yyyy">
                  <c:v>39179</c:v>
                </c:pt>
                <c:pt idx="172" c:formatCode="dd/mm/yyyy">
                  <c:v>39180</c:v>
                </c:pt>
                <c:pt idx="173" c:formatCode="dd/mm/yyyy">
                  <c:v>39181</c:v>
                </c:pt>
                <c:pt idx="174" c:formatCode="dd/mm/yyyy">
                  <c:v>39182</c:v>
                </c:pt>
                <c:pt idx="175" c:formatCode="dd/mm/yyyy">
                  <c:v>39183</c:v>
                </c:pt>
                <c:pt idx="176" c:formatCode="dd/mm/yyyy">
                  <c:v>39184</c:v>
                </c:pt>
                <c:pt idx="177" c:formatCode="dd/mm/yyyy">
                  <c:v>39185</c:v>
                </c:pt>
                <c:pt idx="178" c:formatCode="dd/mm/yyyy">
                  <c:v>39186</c:v>
                </c:pt>
                <c:pt idx="179" c:formatCode="dd/mm/yyyy">
                  <c:v>39187</c:v>
                </c:pt>
                <c:pt idx="180" c:formatCode="dd/mm/yyyy">
                  <c:v>39188</c:v>
                </c:pt>
                <c:pt idx="181" c:formatCode="dd/mm/yyyy">
                  <c:v>39189</c:v>
                </c:pt>
                <c:pt idx="182" c:formatCode="dd/mm/yyyy">
                  <c:v>39190</c:v>
                </c:pt>
                <c:pt idx="183" c:formatCode="dd/mm/yyyy">
                  <c:v>39191</c:v>
                </c:pt>
                <c:pt idx="184" c:formatCode="dd/mm/yyyy">
                  <c:v>39192</c:v>
                </c:pt>
                <c:pt idx="185" c:formatCode="dd/mm/yyyy">
                  <c:v>39193</c:v>
                </c:pt>
                <c:pt idx="186" c:formatCode="dd/mm/yyyy">
                  <c:v>39194</c:v>
                </c:pt>
                <c:pt idx="187" c:formatCode="dd/mm/yyyy">
                  <c:v>39195</c:v>
                </c:pt>
                <c:pt idx="188" c:formatCode="dd/mm/yyyy">
                  <c:v>39196</c:v>
                </c:pt>
                <c:pt idx="189" c:formatCode="dd/mm/yyyy">
                  <c:v>39197</c:v>
                </c:pt>
                <c:pt idx="190" c:formatCode="dd/mm/yyyy">
                  <c:v>39198</c:v>
                </c:pt>
                <c:pt idx="191" c:formatCode="dd/mm/yyyy">
                  <c:v>39199</c:v>
                </c:pt>
                <c:pt idx="192" c:formatCode="dd/mm/yyyy">
                  <c:v>39200</c:v>
                </c:pt>
                <c:pt idx="193" c:formatCode="dd/mm/yyyy">
                  <c:v>39201</c:v>
                </c:pt>
                <c:pt idx="194" c:formatCode="dd/mm/yyyy">
                  <c:v>39202</c:v>
                </c:pt>
                <c:pt idx="195" c:formatCode="dd/mm/yyyy">
                  <c:v>39203</c:v>
                </c:pt>
                <c:pt idx="196" c:formatCode="dd/mm/yyyy">
                  <c:v>39204</c:v>
                </c:pt>
                <c:pt idx="197" c:formatCode="dd/mm/yyyy">
                  <c:v>39205</c:v>
                </c:pt>
                <c:pt idx="198" c:formatCode="dd/mm/yyyy">
                  <c:v>39206</c:v>
                </c:pt>
                <c:pt idx="199" c:formatCode="dd/mm/yyyy">
                  <c:v>39207</c:v>
                </c:pt>
                <c:pt idx="200" c:formatCode="dd/mm/yyyy">
                  <c:v>39208</c:v>
                </c:pt>
                <c:pt idx="201" c:formatCode="dd/mm/yyyy">
                  <c:v>39209</c:v>
                </c:pt>
                <c:pt idx="202" c:formatCode="dd/mm/yyyy">
                  <c:v>39210</c:v>
                </c:pt>
                <c:pt idx="203" c:formatCode="dd/mm/yyyy">
                  <c:v>39211</c:v>
                </c:pt>
                <c:pt idx="204" c:formatCode="dd/mm/yyyy">
                  <c:v>39212</c:v>
                </c:pt>
                <c:pt idx="205" c:formatCode="dd/mm/yyyy">
                  <c:v>39213</c:v>
                </c:pt>
                <c:pt idx="206" c:formatCode="dd/mm/yyyy">
                  <c:v>39214</c:v>
                </c:pt>
                <c:pt idx="207" c:formatCode="dd/mm/yyyy">
                  <c:v>39215</c:v>
                </c:pt>
                <c:pt idx="208" c:formatCode="dd/mm/yyyy">
                  <c:v>39216</c:v>
                </c:pt>
                <c:pt idx="209" c:formatCode="dd/mm/yyyy">
                  <c:v>39217</c:v>
                </c:pt>
                <c:pt idx="210" c:formatCode="dd/mm/yyyy">
                  <c:v>39218</c:v>
                </c:pt>
                <c:pt idx="211" c:formatCode="dd/mm/yyyy">
                  <c:v>39219</c:v>
                </c:pt>
                <c:pt idx="212" c:formatCode="dd/mm/yyyy">
                  <c:v>39220</c:v>
                </c:pt>
                <c:pt idx="213" c:formatCode="dd/mm/yyyy">
                  <c:v>39221</c:v>
                </c:pt>
                <c:pt idx="214" c:formatCode="dd/mm/yyyy">
                  <c:v>39222</c:v>
                </c:pt>
                <c:pt idx="215" c:formatCode="dd/mm/yyyy">
                  <c:v>39223</c:v>
                </c:pt>
                <c:pt idx="216" c:formatCode="dd/mm/yyyy">
                  <c:v>39224</c:v>
                </c:pt>
                <c:pt idx="217" c:formatCode="dd/mm/yyyy">
                  <c:v>39225</c:v>
                </c:pt>
                <c:pt idx="218" c:formatCode="dd/mm/yyyy">
                  <c:v>39226</c:v>
                </c:pt>
                <c:pt idx="219" c:formatCode="dd/mm/yyyy">
                  <c:v>39227</c:v>
                </c:pt>
                <c:pt idx="220" c:formatCode="dd/mm/yyyy">
                  <c:v>39228</c:v>
                </c:pt>
                <c:pt idx="221" c:formatCode="dd/mm/yyyy">
                  <c:v>39229</c:v>
                </c:pt>
                <c:pt idx="222" c:formatCode="dd/mm/yyyy">
                  <c:v>39230</c:v>
                </c:pt>
                <c:pt idx="223" c:formatCode="dd/mm/yyyy">
                  <c:v>39231</c:v>
                </c:pt>
                <c:pt idx="224" c:formatCode="dd/mm/yyyy">
                  <c:v>39232</c:v>
                </c:pt>
                <c:pt idx="225" c:formatCode="dd/mm/yyyy">
                  <c:v>39233</c:v>
                </c:pt>
                <c:pt idx="226" c:formatCode="dd/mm/yyyy">
                  <c:v>39234</c:v>
                </c:pt>
                <c:pt idx="227" c:formatCode="dd/mm/yyyy">
                  <c:v>39235</c:v>
                </c:pt>
                <c:pt idx="228" c:formatCode="dd/mm/yyyy">
                  <c:v>39236</c:v>
                </c:pt>
                <c:pt idx="229" c:formatCode="dd/mm/yyyy">
                  <c:v>39237</c:v>
                </c:pt>
                <c:pt idx="230" c:formatCode="dd/mm/yyyy">
                  <c:v>39238</c:v>
                </c:pt>
                <c:pt idx="231" c:formatCode="dd/mm/yyyy">
                  <c:v>39239</c:v>
                </c:pt>
                <c:pt idx="232" c:formatCode="dd/mm/yyyy">
                  <c:v>39240</c:v>
                </c:pt>
                <c:pt idx="233" c:formatCode="dd/mm/yyyy">
                  <c:v>39241</c:v>
                </c:pt>
                <c:pt idx="234" c:formatCode="dd/mm/yyyy">
                  <c:v>39242</c:v>
                </c:pt>
                <c:pt idx="235" c:formatCode="dd/mm/yyyy">
                  <c:v>39243</c:v>
                </c:pt>
                <c:pt idx="236" c:formatCode="dd/mm/yyyy">
                  <c:v>39244</c:v>
                </c:pt>
                <c:pt idx="237" c:formatCode="dd/mm/yyyy">
                  <c:v>39245</c:v>
                </c:pt>
                <c:pt idx="238" c:formatCode="dd/mm/yyyy">
                  <c:v>39246</c:v>
                </c:pt>
                <c:pt idx="239" c:formatCode="dd/mm/yyyy">
                  <c:v>39247</c:v>
                </c:pt>
                <c:pt idx="240" c:formatCode="dd/mm/yyyy">
                  <c:v>39248</c:v>
                </c:pt>
                <c:pt idx="241" c:formatCode="dd/mm/yyyy">
                  <c:v>39249</c:v>
                </c:pt>
                <c:pt idx="242" c:formatCode="dd/mm/yyyy">
                  <c:v>39250</c:v>
                </c:pt>
                <c:pt idx="243" c:formatCode="dd/mm/yyyy">
                  <c:v>39251</c:v>
                </c:pt>
                <c:pt idx="244" c:formatCode="dd/mm/yyyy">
                  <c:v>39252</c:v>
                </c:pt>
                <c:pt idx="245" c:formatCode="dd/mm/yyyy">
                  <c:v>39253</c:v>
                </c:pt>
                <c:pt idx="246" c:formatCode="dd/mm/yyyy">
                  <c:v>39254</c:v>
                </c:pt>
                <c:pt idx="247" c:formatCode="dd/mm/yyyy">
                  <c:v>39255</c:v>
                </c:pt>
                <c:pt idx="248" c:formatCode="dd/mm/yyyy">
                  <c:v>39256</c:v>
                </c:pt>
                <c:pt idx="249" c:formatCode="dd/mm/yyyy">
                  <c:v>39257</c:v>
                </c:pt>
                <c:pt idx="250" c:formatCode="dd/mm/yyyy">
                  <c:v>39258</c:v>
                </c:pt>
                <c:pt idx="251" c:formatCode="dd/mm/yyyy">
                  <c:v>39259</c:v>
                </c:pt>
                <c:pt idx="252" c:formatCode="dd/mm/yyyy">
                  <c:v>39260</c:v>
                </c:pt>
                <c:pt idx="253" c:formatCode="dd/mm/yyyy">
                  <c:v>39261</c:v>
                </c:pt>
                <c:pt idx="254" c:formatCode="dd/mm/yyyy">
                  <c:v>39262</c:v>
                </c:pt>
                <c:pt idx="255" c:formatCode="dd/mm/yyyy">
                  <c:v>39263</c:v>
                </c:pt>
                <c:pt idx="256" c:formatCode="dd/mm/yyyy">
                  <c:v>39264</c:v>
                </c:pt>
                <c:pt idx="257" c:formatCode="dd/mm/yyyy">
                  <c:v>39265</c:v>
                </c:pt>
                <c:pt idx="258" c:formatCode="dd/mm/yyyy">
                  <c:v>39266</c:v>
                </c:pt>
                <c:pt idx="259" c:formatCode="dd/mm/yyyy">
                  <c:v>39267</c:v>
                </c:pt>
                <c:pt idx="260" c:formatCode="dd/mm/yyyy">
                  <c:v>39268</c:v>
                </c:pt>
                <c:pt idx="261" c:formatCode="dd/mm/yyyy">
                  <c:v>39269</c:v>
                </c:pt>
                <c:pt idx="262" c:formatCode="dd/mm/yyyy">
                  <c:v>39270</c:v>
                </c:pt>
                <c:pt idx="263" c:formatCode="dd/mm/yyyy">
                  <c:v>39271</c:v>
                </c:pt>
                <c:pt idx="264" c:formatCode="dd/mm/yyyy">
                  <c:v>39272</c:v>
                </c:pt>
                <c:pt idx="265" c:formatCode="dd/mm/yyyy">
                  <c:v>39273</c:v>
                </c:pt>
                <c:pt idx="266" c:formatCode="dd/mm/yyyy">
                  <c:v>39274</c:v>
                </c:pt>
                <c:pt idx="267" c:formatCode="dd/mm/yyyy">
                  <c:v>39275</c:v>
                </c:pt>
                <c:pt idx="268" c:formatCode="dd/mm/yyyy">
                  <c:v>39276</c:v>
                </c:pt>
                <c:pt idx="269" c:formatCode="dd/mm/yyyy">
                  <c:v>39277</c:v>
                </c:pt>
                <c:pt idx="270" c:formatCode="dd/mm/yyyy">
                  <c:v>39278</c:v>
                </c:pt>
              </c:numCache>
            </c:numRef>
          </c:cat>
          <c:val>
            <c:numRef>
              <c:f>'SAMIR_ex_blé TLS'!$BA$15:$BA$350</c:f>
              <c:numCache>
                <c:formatCode>0.00</c:formatCode>
                <c:ptCount val="3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numCache>
            </c:numRef>
          </c:val>
          <c:smooth val="0"/>
        </c:ser>
        <c:dLbls>
          <c:showLegendKey val="0"/>
          <c:showVal val="0"/>
          <c:showCatName val="0"/>
          <c:showSerName val="0"/>
          <c:showPercent val="0"/>
          <c:showBubbleSize val="1"/>
        </c:dLbls>
        <c:hiLowLines>
          <c:spPr>
            <a:ln w="6350" cap="flat" cmpd="sng" algn="ctr">
              <a:noFill/>
              <a:prstDash val="solid"/>
              <a:round/>
            </a:ln>
          </c:spPr>
        </c:hiLowLines>
        <c:marker val="0"/>
        <c:smooth val="0"/>
        <c:axId val="46640754"/>
        <c:axId val="90132784"/>
      </c:lineChart>
      <c:dateAx>
        <c:axId val="46640754"/>
        <c:scaling>
          <c:orientation val="minMax"/>
        </c:scaling>
        <c:delete val="0"/>
        <c:axPos val="b"/>
        <c:numFmt formatCode="m/d/yyyy" sourceLinked="1"/>
        <c:majorTickMark val="out"/>
        <c:minorTickMark val="none"/>
        <c:tickLblPos val="nextTo"/>
        <c:spPr>
          <a:ln w="9360" cap="flat" cmpd="sng" algn="ctr">
            <a:solidFill>
              <a:srgbClr val="878787"/>
            </a:solidFill>
            <a:prstDash val="solid"/>
            <a:round/>
          </a:ln>
        </c:spPr>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90132784"/>
        <c:crosses val="autoZero"/>
        <c:auto val="1"/>
        <c:lblOffset val="100"/>
        <c:baseTimeUnit val="days"/>
      </c:dateAx>
      <c:valAx>
        <c:axId val="90132784"/>
        <c:scaling>
          <c:orientation val="minMax"/>
        </c:scaling>
        <c:delete val="0"/>
        <c:axPos val="l"/>
        <c:majorGridlines>
          <c:spPr>
            <a:ln w="9360" cap="flat" cmpd="sng" algn="ctr">
              <a:solidFill>
                <a:srgbClr val="878787"/>
              </a:solidFill>
              <a:prstDash val="solid"/>
              <a:round/>
            </a:ln>
          </c:spPr>
        </c:majorGridlines>
        <c:numFmt formatCode="0.00" sourceLinked="0"/>
        <c:majorTickMark val="out"/>
        <c:minorTickMark val="none"/>
        <c:tickLblPos val="nextTo"/>
        <c:spPr>
          <a:ln w="9360" cap="flat" cmpd="sng" algn="ctr">
            <a:solidFill>
              <a:srgbClr val="878787"/>
            </a:solidFill>
            <a:prstDash val="solid"/>
            <a:round/>
          </a:ln>
        </c:spPr>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46640754"/>
        <c:crosses val="autoZero"/>
        <c:crossBetween val="midCat"/>
      </c:valAx>
      <c:spPr>
        <a:solidFill>
          <a:srgbClr val="FFFFFF"/>
        </a:solidFill>
        <a:ln>
          <a:noFill/>
        </a:ln>
      </c:spPr>
    </c:plotArea>
    <c:legend>
      <c:legendPos val="r"/>
      <c:layout>
        <c:manualLayout>
          <c:xMode val="edge"/>
          <c:yMode val="edge"/>
          <c:x val="0.91083134608174"/>
          <c:y val="0.124891752167343"/>
        </c:manualLayout>
      </c:layout>
      <c:overlay val="0"/>
      <c:spPr>
        <a:noFill/>
        <a:ln>
          <a:noFill/>
        </a:ln>
      </c:spPr>
      <c:txPr>
        <a:bodyPr rot="0" spcFirstLastPara="0" vertOverflow="ellipsis" vert="horz" wrap="square" anchor="ctr" anchorCtr="1"/>
        <a:lstStyle/>
        <a:p>
          <a:pPr>
            <a:defRPr lang="en-US" sz="1000" b="0" i="0" u="none" strike="noStrike" kern="1200" baseline="0">
              <a:solidFill>
                <a:schemeClr val="tx1"/>
              </a:solidFill>
              <a:latin typeface="+mn-lt"/>
              <a:ea typeface="+mn-ea"/>
              <a:cs typeface="+mn-cs"/>
            </a:defRPr>
          </a:pPr>
        </a:p>
      </c:txPr>
    </c:legend>
    <c:plotVisOnly val="1"/>
    <c:dispBlanksAs val="gap"/>
    <c:showDLblsOverMax val="0"/>
  </c:chart>
  <c:spPr>
    <a:solidFill>
      <a:srgbClr val="FFFFFF"/>
    </a:solidFill>
    <a:ln w="6350" cap="flat" cmpd="sng" algn="ctr">
      <a:noFill/>
      <a:prstDash val="solid"/>
      <a:round/>
    </a:ln>
  </c:spPr>
  <c:txPr>
    <a:bodyPr/>
    <a:lstStyle/>
    <a:p>
      <a:pPr>
        <a:defRPr lang="en-US"/>
      </a:pP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
        <c:varyColors val="0"/>
        <c:ser>
          <c:idx val="0"/>
          <c:order val="0"/>
          <c:tx>
            <c:strRef>
              <c:f>'SAMIR_ex_blé TLS'!$X$14</c:f>
              <c:strCache>
                <c:ptCount val="1"/>
                <c:pt idx="0">
                  <c:v>Ir_auto</c:v>
                </c:pt>
              </c:strCache>
            </c:strRef>
          </c:tx>
          <c:spPr>
            <a:ln w="28440" cap="rnd" cmpd="sng" algn="ctr">
              <a:solidFill>
                <a:srgbClr val="4A7EBB"/>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xVal>
            <c:numRef>
              <c:f>'SAMIR_ex_blé TLS'!$A$15:$A$502</c:f>
              <c:numCache>
                <c:formatCode>dd/mm/yyyy</c:formatCode>
                <c:ptCount val="488"/>
                <c:pt idx="0">
                  <c:v>39008</c:v>
                </c:pt>
                <c:pt idx="1">
                  <c:v>39009</c:v>
                </c:pt>
                <c:pt idx="2">
                  <c:v>39010</c:v>
                </c:pt>
                <c:pt idx="3">
                  <c:v>39011</c:v>
                </c:pt>
                <c:pt idx="4">
                  <c:v>39012</c:v>
                </c:pt>
                <c:pt idx="5">
                  <c:v>39013</c:v>
                </c:pt>
                <c:pt idx="6">
                  <c:v>39014</c:v>
                </c:pt>
                <c:pt idx="7">
                  <c:v>39015</c:v>
                </c:pt>
                <c:pt idx="8">
                  <c:v>39016</c:v>
                </c:pt>
                <c:pt idx="9">
                  <c:v>39017</c:v>
                </c:pt>
                <c:pt idx="10">
                  <c:v>39018</c:v>
                </c:pt>
                <c:pt idx="11">
                  <c:v>39019</c:v>
                </c:pt>
                <c:pt idx="12">
                  <c:v>39020</c:v>
                </c:pt>
                <c:pt idx="13">
                  <c:v>39021</c:v>
                </c:pt>
                <c:pt idx="14">
                  <c:v>39022</c:v>
                </c:pt>
                <c:pt idx="15">
                  <c:v>39023</c:v>
                </c:pt>
                <c:pt idx="16">
                  <c:v>39024</c:v>
                </c:pt>
                <c:pt idx="17">
                  <c:v>39025</c:v>
                </c:pt>
                <c:pt idx="18">
                  <c:v>39026</c:v>
                </c:pt>
                <c:pt idx="19">
                  <c:v>39027</c:v>
                </c:pt>
                <c:pt idx="20">
                  <c:v>39028</c:v>
                </c:pt>
                <c:pt idx="21">
                  <c:v>39029</c:v>
                </c:pt>
                <c:pt idx="22">
                  <c:v>39030</c:v>
                </c:pt>
                <c:pt idx="23">
                  <c:v>39031</c:v>
                </c:pt>
                <c:pt idx="24">
                  <c:v>39032</c:v>
                </c:pt>
                <c:pt idx="25">
                  <c:v>39033</c:v>
                </c:pt>
                <c:pt idx="26">
                  <c:v>39034</c:v>
                </c:pt>
                <c:pt idx="27">
                  <c:v>39035</c:v>
                </c:pt>
                <c:pt idx="28">
                  <c:v>39036</c:v>
                </c:pt>
                <c:pt idx="29">
                  <c:v>39037</c:v>
                </c:pt>
                <c:pt idx="30">
                  <c:v>39038</c:v>
                </c:pt>
                <c:pt idx="31">
                  <c:v>39039</c:v>
                </c:pt>
                <c:pt idx="32">
                  <c:v>39040</c:v>
                </c:pt>
                <c:pt idx="33">
                  <c:v>39041</c:v>
                </c:pt>
                <c:pt idx="34">
                  <c:v>39042</c:v>
                </c:pt>
                <c:pt idx="35">
                  <c:v>39043</c:v>
                </c:pt>
                <c:pt idx="36">
                  <c:v>39044</c:v>
                </c:pt>
                <c:pt idx="37">
                  <c:v>39045</c:v>
                </c:pt>
                <c:pt idx="38">
                  <c:v>39046</c:v>
                </c:pt>
                <c:pt idx="39">
                  <c:v>39047</c:v>
                </c:pt>
                <c:pt idx="40">
                  <c:v>39048</c:v>
                </c:pt>
                <c:pt idx="41">
                  <c:v>39049</c:v>
                </c:pt>
                <c:pt idx="42">
                  <c:v>39050</c:v>
                </c:pt>
                <c:pt idx="43">
                  <c:v>39051</c:v>
                </c:pt>
                <c:pt idx="44">
                  <c:v>39052</c:v>
                </c:pt>
                <c:pt idx="45">
                  <c:v>39053</c:v>
                </c:pt>
                <c:pt idx="46">
                  <c:v>39054</c:v>
                </c:pt>
                <c:pt idx="47">
                  <c:v>39055</c:v>
                </c:pt>
                <c:pt idx="48">
                  <c:v>39056</c:v>
                </c:pt>
                <c:pt idx="49">
                  <c:v>39057</c:v>
                </c:pt>
                <c:pt idx="50">
                  <c:v>39058</c:v>
                </c:pt>
                <c:pt idx="51">
                  <c:v>39059</c:v>
                </c:pt>
                <c:pt idx="52">
                  <c:v>39060</c:v>
                </c:pt>
                <c:pt idx="53">
                  <c:v>39061</c:v>
                </c:pt>
                <c:pt idx="54">
                  <c:v>39062</c:v>
                </c:pt>
                <c:pt idx="55">
                  <c:v>39063</c:v>
                </c:pt>
                <c:pt idx="56">
                  <c:v>39064</c:v>
                </c:pt>
                <c:pt idx="57">
                  <c:v>39065</c:v>
                </c:pt>
                <c:pt idx="58">
                  <c:v>39066</c:v>
                </c:pt>
                <c:pt idx="59">
                  <c:v>39067</c:v>
                </c:pt>
                <c:pt idx="60">
                  <c:v>39068</c:v>
                </c:pt>
                <c:pt idx="61">
                  <c:v>39069</c:v>
                </c:pt>
                <c:pt idx="62">
                  <c:v>39070</c:v>
                </c:pt>
                <c:pt idx="63">
                  <c:v>39071</c:v>
                </c:pt>
                <c:pt idx="64">
                  <c:v>39072</c:v>
                </c:pt>
                <c:pt idx="65">
                  <c:v>39073</c:v>
                </c:pt>
                <c:pt idx="66">
                  <c:v>39074</c:v>
                </c:pt>
                <c:pt idx="67">
                  <c:v>39075</c:v>
                </c:pt>
                <c:pt idx="68">
                  <c:v>39076</c:v>
                </c:pt>
                <c:pt idx="69">
                  <c:v>39077</c:v>
                </c:pt>
                <c:pt idx="70">
                  <c:v>39078</c:v>
                </c:pt>
                <c:pt idx="71">
                  <c:v>39079</c:v>
                </c:pt>
                <c:pt idx="72">
                  <c:v>39080</c:v>
                </c:pt>
                <c:pt idx="73">
                  <c:v>39081</c:v>
                </c:pt>
                <c:pt idx="74">
                  <c:v>39082</c:v>
                </c:pt>
                <c:pt idx="75">
                  <c:v>39083</c:v>
                </c:pt>
                <c:pt idx="76">
                  <c:v>39084</c:v>
                </c:pt>
                <c:pt idx="77">
                  <c:v>39085</c:v>
                </c:pt>
                <c:pt idx="78">
                  <c:v>39086</c:v>
                </c:pt>
                <c:pt idx="79">
                  <c:v>39087</c:v>
                </c:pt>
                <c:pt idx="80">
                  <c:v>39088</c:v>
                </c:pt>
                <c:pt idx="81">
                  <c:v>39089</c:v>
                </c:pt>
                <c:pt idx="82">
                  <c:v>39090</c:v>
                </c:pt>
                <c:pt idx="83">
                  <c:v>39091</c:v>
                </c:pt>
                <c:pt idx="84">
                  <c:v>39092</c:v>
                </c:pt>
                <c:pt idx="85">
                  <c:v>39093</c:v>
                </c:pt>
                <c:pt idx="86">
                  <c:v>39094</c:v>
                </c:pt>
                <c:pt idx="87">
                  <c:v>39095</c:v>
                </c:pt>
                <c:pt idx="88">
                  <c:v>39096</c:v>
                </c:pt>
                <c:pt idx="89">
                  <c:v>39097</c:v>
                </c:pt>
                <c:pt idx="90">
                  <c:v>39098</c:v>
                </c:pt>
                <c:pt idx="91">
                  <c:v>39099</c:v>
                </c:pt>
                <c:pt idx="92">
                  <c:v>39100</c:v>
                </c:pt>
                <c:pt idx="93">
                  <c:v>39101</c:v>
                </c:pt>
                <c:pt idx="94">
                  <c:v>39102</c:v>
                </c:pt>
                <c:pt idx="95">
                  <c:v>39103</c:v>
                </c:pt>
                <c:pt idx="96">
                  <c:v>39104</c:v>
                </c:pt>
                <c:pt idx="97">
                  <c:v>39105</c:v>
                </c:pt>
                <c:pt idx="98">
                  <c:v>39106</c:v>
                </c:pt>
                <c:pt idx="99">
                  <c:v>39107</c:v>
                </c:pt>
                <c:pt idx="100">
                  <c:v>39108</c:v>
                </c:pt>
                <c:pt idx="101">
                  <c:v>39109</c:v>
                </c:pt>
                <c:pt idx="102">
                  <c:v>39110</c:v>
                </c:pt>
                <c:pt idx="103">
                  <c:v>39111</c:v>
                </c:pt>
                <c:pt idx="104">
                  <c:v>39112</c:v>
                </c:pt>
                <c:pt idx="105">
                  <c:v>39113</c:v>
                </c:pt>
                <c:pt idx="106">
                  <c:v>39114</c:v>
                </c:pt>
                <c:pt idx="107">
                  <c:v>39115</c:v>
                </c:pt>
                <c:pt idx="108">
                  <c:v>39116</c:v>
                </c:pt>
                <c:pt idx="109">
                  <c:v>39117</c:v>
                </c:pt>
                <c:pt idx="110">
                  <c:v>39118</c:v>
                </c:pt>
                <c:pt idx="111">
                  <c:v>39119</c:v>
                </c:pt>
                <c:pt idx="112">
                  <c:v>39120</c:v>
                </c:pt>
                <c:pt idx="113">
                  <c:v>39121</c:v>
                </c:pt>
                <c:pt idx="114">
                  <c:v>39122</c:v>
                </c:pt>
                <c:pt idx="115">
                  <c:v>39123</c:v>
                </c:pt>
                <c:pt idx="116">
                  <c:v>39124</c:v>
                </c:pt>
                <c:pt idx="117">
                  <c:v>39125</c:v>
                </c:pt>
                <c:pt idx="118">
                  <c:v>39126</c:v>
                </c:pt>
                <c:pt idx="119">
                  <c:v>39127</c:v>
                </c:pt>
                <c:pt idx="120">
                  <c:v>39128</c:v>
                </c:pt>
                <c:pt idx="121">
                  <c:v>39129</c:v>
                </c:pt>
                <c:pt idx="122">
                  <c:v>39130</c:v>
                </c:pt>
                <c:pt idx="123">
                  <c:v>39131</c:v>
                </c:pt>
                <c:pt idx="124">
                  <c:v>39132</c:v>
                </c:pt>
                <c:pt idx="125">
                  <c:v>39133</c:v>
                </c:pt>
                <c:pt idx="126">
                  <c:v>39134</c:v>
                </c:pt>
                <c:pt idx="127">
                  <c:v>39135</c:v>
                </c:pt>
                <c:pt idx="128">
                  <c:v>39136</c:v>
                </c:pt>
                <c:pt idx="129">
                  <c:v>39137</c:v>
                </c:pt>
                <c:pt idx="130">
                  <c:v>39138</c:v>
                </c:pt>
                <c:pt idx="131">
                  <c:v>39139</c:v>
                </c:pt>
                <c:pt idx="132">
                  <c:v>39140</c:v>
                </c:pt>
                <c:pt idx="133">
                  <c:v>39141</c:v>
                </c:pt>
                <c:pt idx="134">
                  <c:v>39142</c:v>
                </c:pt>
                <c:pt idx="135">
                  <c:v>39143</c:v>
                </c:pt>
                <c:pt idx="136">
                  <c:v>39144</c:v>
                </c:pt>
                <c:pt idx="137">
                  <c:v>39145</c:v>
                </c:pt>
                <c:pt idx="138">
                  <c:v>39146</c:v>
                </c:pt>
                <c:pt idx="139">
                  <c:v>39147</c:v>
                </c:pt>
                <c:pt idx="140">
                  <c:v>39148</c:v>
                </c:pt>
                <c:pt idx="141">
                  <c:v>39149</c:v>
                </c:pt>
                <c:pt idx="142">
                  <c:v>39150</c:v>
                </c:pt>
                <c:pt idx="143">
                  <c:v>39151</c:v>
                </c:pt>
                <c:pt idx="144">
                  <c:v>39152</c:v>
                </c:pt>
                <c:pt idx="145">
                  <c:v>39153</c:v>
                </c:pt>
                <c:pt idx="146">
                  <c:v>39154</c:v>
                </c:pt>
                <c:pt idx="147">
                  <c:v>39155</c:v>
                </c:pt>
                <c:pt idx="148">
                  <c:v>39156</c:v>
                </c:pt>
                <c:pt idx="149">
                  <c:v>39157</c:v>
                </c:pt>
                <c:pt idx="150">
                  <c:v>39158</c:v>
                </c:pt>
                <c:pt idx="151">
                  <c:v>39159</c:v>
                </c:pt>
                <c:pt idx="152">
                  <c:v>39160</c:v>
                </c:pt>
                <c:pt idx="153">
                  <c:v>39161</c:v>
                </c:pt>
                <c:pt idx="154">
                  <c:v>39162</c:v>
                </c:pt>
                <c:pt idx="155">
                  <c:v>39163</c:v>
                </c:pt>
                <c:pt idx="156">
                  <c:v>39164</c:v>
                </c:pt>
                <c:pt idx="157">
                  <c:v>39165</c:v>
                </c:pt>
                <c:pt idx="158">
                  <c:v>39166</c:v>
                </c:pt>
                <c:pt idx="159">
                  <c:v>39167</c:v>
                </c:pt>
                <c:pt idx="160">
                  <c:v>39168</c:v>
                </c:pt>
                <c:pt idx="161">
                  <c:v>39169</c:v>
                </c:pt>
                <c:pt idx="162">
                  <c:v>39170</c:v>
                </c:pt>
                <c:pt idx="163">
                  <c:v>39171</c:v>
                </c:pt>
                <c:pt idx="164">
                  <c:v>39172</c:v>
                </c:pt>
                <c:pt idx="165">
                  <c:v>39173</c:v>
                </c:pt>
                <c:pt idx="166">
                  <c:v>39174</c:v>
                </c:pt>
                <c:pt idx="167">
                  <c:v>39175</c:v>
                </c:pt>
                <c:pt idx="168">
                  <c:v>39176</c:v>
                </c:pt>
                <c:pt idx="169">
                  <c:v>39177</c:v>
                </c:pt>
                <c:pt idx="170">
                  <c:v>39178</c:v>
                </c:pt>
                <c:pt idx="171">
                  <c:v>39179</c:v>
                </c:pt>
                <c:pt idx="172">
                  <c:v>39180</c:v>
                </c:pt>
                <c:pt idx="173">
                  <c:v>39181</c:v>
                </c:pt>
                <c:pt idx="174">
                  <c:v>39182</c:v>
                </c:pt>
                <c:pt idx="175">
                  <c:v>39183</c:v>
                </c:pt>
                <c:pt idx="176">
                  <c:v>39184</c:v>
                </c:pt>
                <c:pt idx="177">
                  <c:v>39185</c:v>
                </c:pt>
                <c:pt idx="178">
                  <c:v>39186</c:v>
                </c:pt>
                <c:pt idx="179">
                  <c:v>39187</c:v>
                </c:pt>
                <c:pt idx="180">
                  <c:v>39188</c:v>
                </c:pt>
                <c:pt idx="181">
                  <c:v>39189</c:v>
                </c:pt>
                <c:pt idx="182">
                  <c:v>39190</c:v>
                </c:pt>
                <c:pt idx="183">
                  <c:v>39191</c:v>
                </c:pt>
                <c:pt idx="184">
                  <c:v>39192</c:v>
                </c:pt>
                <c:pt idx="185">
                  <c:v>39193</c:v>
                </c:pt>
                <c:pt idx="186">
                  <c:v>39194</c:v>
                </c:pt>
                <c:pt idx="187">
                  <c:v>39195</c:v>
                </c:pt>
                <c:pt idx="188">
                  <c:v>39196</c:v>
                </c:pt>
                <c:pt idx="189">
                  <c:v>39197</c:v>
                </c:pt>
                <c:pt idx="190">
                  <c:v>39198</c:v>
                </c:pt>
                <c:pt idx="191">
                  <c:v>39199</c:v>
                </c:pt>
                <c:pt idx="192">
                  <c:v>39200</c:v>
                </c:pt>
                <c:pt idx="193">
                  <c:v>39201</c:v>
                </c:pt>
                <c:pt idx="194">
                  <c:v>39202</c:v>
                </c:pt>
                <c:pt idx="195">
                  <c:v>39203</c:v>
                </c:pt>
                <c:pt idx="196">
                  <c:v>39204</c:v>
                </c:pt>
                <c:pt idx="197">
                  <c:v>39205</c:v>
                </c:pt>
                <c:pt idx="198">
                  <c:v>39206</c:v>
                </c:pt>
                <c:pt idx="199">
                  <c:v>39207</c:v>
                </c:pt>
                <c:pt idx="200">
                  <c:v>39208</c:v>
                </c:pt>
                <c:pt idx="201">
                  <c:v>39209</c:v>
                </c:pt>
                <c:pt idx="202">
                  <c:v>39210</c:v>
                </c:pt>
                <c:pt idx="203">
                  <c:v>39211</c:v>
                </c:pt>
                <c:pt idx="204">
                  <c:v>39212</c:v>
                </c:pt>
                <c:pt idx="205">
                  <c:v>39213</c:v>
                </c:pt>
                <c:pt idx="206">
                  <c:v>39214</c:v>
                </c:pt>
                <c:pt idx="207">
                  <c:v>39215</c:v>
                </c:pt>
                <c:pt idx="208">
                  <c:v>39216</c:v>
                </c:pt>
                <c:pt idx="209">
                  <c:v>39217</c:v>
                </c:pt>
                <c:pt idx="210">
                  <c:v>39218</c:v>
                </c:pt>
                <c:pt idx="211">
                  <c:v>39219</c:v>
                </c:pt>
                <c:pt idx="212">
                  <c:v>39220</c:v>
                </c:pt>
                <c:pt idx="213">
                  <c:v>39221</c:v>
                </c:pt>
                <c:pt idx="214">
                  <c:v>39222</c:v>
                </c:pt>
                <c:pt idx="215">
                  <c:v>39223</c:v>
                </c:pt>
                <c:pt idx="216">
                  <c:v>39224</c:v>
                </c:pt>
                <c:pt idx="217">
                  <c:v>39225</c:v>
                </c:pt>
                <c:pt idx="218">
                  <c:v>39226</c:v>
                </c:pt>
                <c:pt idx="219">
                  <c:v>39227</c:v>
                </c:pt>
                <c:pt idx="220">
                  <c:v>39228</c:v>
                </c:pt>
                <c:pt idx="221">
                  <c:v>39229</c:v>
                </c:pt>
                <c:pt idx="222">
                  <c:v>39230</c:v>
                </c:pt>
                <c:pt idx="223">
                  <c:v>39231</c:v>
                </c:pt>
                <c:pt idx="224">
                  <c:v>39232</c:v>
                </c:pt>
                <c:pt idx="225">
                  <c:v>39233</c:v>
                </c:pt>
                <c:pt idx="226">
                  <c:v>39234</c:v>
                </c:pt>
                <c:pt idx="227">
                  <c:v>39235</c:v>
                </c:pt>
                <c:pt idx="228">
                  <c:v>39236</c:v>
                </c:pt>
                <c:pt idx="229">
                  <c:v>39237</c:v>
                </c:pt>
                <c:pt idx="230">
                  <c:v>39238</c:v>
                </c:pt>
                <c:pt idx="231">
                  <c:v>39239</c:v>
                </c:pt>
                <c:pt idx="232">
                  <c:v>39240</c:v>
                </c:pt>
                <c:pt idx="233">
                  <c:v>39241</c:v>
                </c:pt>
                <c:pt idx="234">
                  <c:v>39242</c:v>
                </c:pt>
                <c:pt idx="235">
                  <c:v>39243</c:v>
                </c:pt>
                <c:pt idx="236">
                  <c:v>39244</c:v>
                </c:pt>
                <c:pt idx="237">
                  <c:v>39245</c:v>
                </c:pt>
                <c:pt idx="238">
                  <c:v>39246</c:v>
                </c:pt>
                <c:pt idx="239">
                  <c:v>39247</c:v>
                </c:pt>
                <c:pt idx="240">
                  <c:v>39248</c:v>
                </c:pt>
                <c:pt idx="241">
                  <c:v>39249</c:v>
                </c:pt>
                <c:pt idx="242">
                  <c:v>39250</c:v>
                </c:pt>
                <c:pt idx="243">
                  <c:v>39251</c:v>
                </c:pt>
                <c:pt idx="244">
                  <c:v>39252</c:v>
                </c:pt>
                <c:pt idx="245">
                  <c:v>39253</c:v>
                </c:pt>
                <c:pt idx="246">
                  <c:v>39254</c:v>
                </c:pt>
                <c:pt idx="247">
                  <c:v>39255</c:v>
                </c:pt>
                <c:pt idx="248">
                  <c:v>39256</c:v>
                </c:pt>
                <c:pt idx="249">
                  <c:v>39257</c:v>
                </c:pt>
                <c:pt idx="250">
                  <c:v>39258</c:v>
                </c:pt>
                <c:pt idx="251">
                  <c:v>39259</c:v>
                </c:pt>
                <c:pt idx="252">
                  <c:v>39260</c:v>
                </c:pt>
                <c:pt idx="253">
                  <c:v>39261</c:v>
                </c:pt>
                <c:pt idx="254">
                  <c:v>39262</c:v>
                </c:pt>
                <c:pt idx="255">
                  <c:v>39263</c:v>
                </c:pt>
                <c:pt idx="256">
                  <c:v>39264</c:v>
                </c:pt>
                <c:pt idx="257">
                  <c:v>39265</c:v>
                </c:pt>
                <c:pt idx="258">
                  <c:v>39266</c:v>
                </c:pt>
                <c:pt idx="259">
                  <c:v>39267</c:v>
                </c:pt>
                <c:pt idx="260">
                  <c:v>39268</c:v>
                </c:pt>
                <c:pt idx="261">
                  <c:v>39269</c:v>
                </c:pt>
                <c:pt idx="262">
                  <c:v>39270</c:v>
                </c:pt>
                <c:pt idx="263">
                  <c:v>39271</c:v>
                </c:pt>
                <c:pt idx="264">
                  <c:v>39272</c:v>
                </c:pt>
                <c:pt idx="265">
                  <c:v>39273</c:v>
                </c:pt>
                <c:pt idx="266">
                  <c:v>39274</c:v>
                </c:pt>
                <c:pt idx="267">
                  <c:v>39275</c:v>
                </c:pt>
                <c:pt idx="268">
                  <c:v>39276</c:v>
                </c:pt>
                <c:pt idx="269">
                  <c:v>39277</c:v>
                </c:pt>
                <c:pt idx="270">
                  <c:v>39278</c:v>
                </c:pt>
              </c:numCache>
            </c:numRef>
          </c:xVal>
          <c:yVal>
            <c:numRef>
              <c:f>'SAMIR_ex_blé TLS'!$X$15:$X$502</c:f>
              <c:numCache>
                <c:formatCode>0.0</c:formatCode>
                <c:ptCount val="48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48.2439822821253</c:v>
                </c:pt>
                <c:pt idx="192">
                  <c:v>50</c:v>
                </c:pt>
                <c:pt idx="193">
                  <c:v>50</c:v>
                </c:pt>
                <c:pt idx="194">
                  <c:v>40.4230355829014</c:v>
                </c:pt>
                <c:pt idx="195">
                  <c:v>13.5439973384181</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numCache>
            </c:numRef>
          </c:yVal>
          <c:smooth val="0"/>
        </c:ser>
        <c:ser>
          <c:idx val="1"/>
          <c:order val="1"/>
          <c:tx>
            <c:strRef>
              <c:f>'SAMIR_ex_blé TLS'!$E$14</c:f>
              <c:strCache>
                <c:ptCount val="1"/>
                <c:pt idx="0">
                  <c:v>Ir_obs</c:v>
                </c:pt>
              </c:strCache>
            </c:strRef>
          </c:tx>
          <c:spPr>
            <a:ln w="28440" cap="rnd" cmpd="sng" algn="ctr">
              <a:solidFill>
                <a:srgbClr val="FF0000"/>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xVal>
            <c:numRef>
              <c:f>'SAMIR_ex_blé TLS'!$A$15:$A$502</c:f>
              <c:numCache>
                <c:formatCode>dd/mm/yyyy</c:formatCode>
                <c:ptCount val="488"/>
                <c:pt idx="0">
                  <c:v>39008</c:v>
                </c:pt>
                <c:pt idx="1">
                  <c:v>39009</c:v>
                </c:pt>
                <c:pt idx="2">
                  <c:v>39010</c:v>
                </c:pt>
                <c:pt idx="3">
                  <c:v>39011</c:v>
                </c:pt>
                <c:pt idx="4">
                  <c:v>39012</c:v>
                </c:pt>
                <c:pt idx="5">
                  <c:v>39013</c:v>
                </c:pt>
                <c:pt idx="6">
                  <c:v>39014</c:v>
                </c:pt>
                <c:pt idx="7">
                  <c:v>39015</c:v>
                </c:pt>
                <c:pt idx="8">
                  <c:v>39016</c:v>
                </c:pt>
                <c:pt idx="9">
                  <c:v>39017</c:v>
                </c:pt>
                <c:pt idx="10">
                  <c:v>39018</c:v>
                </c:pt>
                <c:pt idx="11">
                  <c:v>39019</c:v>
                </c:pt>
                <c:pt idx="12">
                  <c:v>39020</c:v>
                </c:pt>
                <c:pt idx="13">
                  <c:v>39021</c:v>
                </c:pt>
                <c:pt idx="14">
                  <c:v>39022</c:v>
                </c:pt>
                <c:pt idx="15">
                  <c:v>39023</c:v>
                </c:pt>
                <c:pt idx="16">
                  <c:v>39024</c:v>
                </c:pt>
                <c:pt idx="17">
                  <c:v>39025</c:v>
                </c:pt>
                <c:pt idx="18">
                  <c:v>39026</c:v>
                </c:pt>
                <c:pt idx="19">
                  <c:v>39027</c:v>
                </c:pt>
                <c:pt idx="20">
                  <c:v>39028</c:v>
                </c:pt>
                <c:pt idx="21">
                  <c:v>39029</c:v>
                </c:pt>
                <c:pt idx="22">
                  <c:v>39030</c:v>
                </c:pt>
                <c:pt idx="23">
                  <c:v>39031</c:v>
                </c:pt>
                <c:pt idx="24">
                  <c:v>39032</c:v>
                </c:pt>
                <c:pt idx="25">
                  <c:v>39033</c:v>
                </c:pt>
                <c:pt idx="26">
                  <c:v>39034</c:v>
                </c:pt>
                <c:pt idx="27">
                  <c:v>39035</c:v>
                </c:pt>
                <c:pt idx="28">
                  <c:v>39036</c:v>
                </c:pt>
                <c:pt idx="29">
                  <c:v>39037</c:v>
                </c:pt>
                <c:pt idx="30">
                  <c:v>39038</c:v>
                </c:pt>
                <c:pt idx="31">
                  <c:v>39039</c:v>
                </c:pt>
                <c:pt idx="32">
                  <c:v>39040</c:v>
                </c:pt>
                <c:pt idx="33">
                  <c:v>39041</c:v>
                </c:pt>
                <c:pt idx="34">
                  <c:v>39042</c:v>
                </c:pt>
                <c:pt idx="35">
                  <c:v>39043</c:v>
                </c:pt>
                <c:pt idx="36">
                  <c:v>39044</c:v>
                </c:pt>
                <c:pt idx="37">
                  <c:v>39045</c:v>
                </c:pt>
                <c:pt idx="38">
                  <c:v>39046</c:v>
                </c:pt>
                <c:pt idx="39">
                  <c:v>39047</c:v>
                </c:pt>
                <c:pt idx="40">
                  <c:v>39048</c:v>
                </c:pt>
                <c:pt idx="41">
                  <c:v>39049</c:v>
                </c:pt>
                <c:pt idx="42">
                  <c:v>39050</c:v>
                </c:pt>
                <c:pt idx="43">
                  <c:v>39051</c:v>
                </c:pt>
                <c:pt idx="44">
                  <c:v>39052</c:v>
                </c:pt>
                <c:pt idx="45">
                  <c:v>39053</c:v>
                </c:pt>
                <c:pt idx="46">
                  <c:v>39054</c:v>
                </c:pt>
                <c:pt idx="47">
                  <c:v>39055</c:v>
                </c:pt>
                <c:pt idx="48">
                  <c:v>39056</c:v>
                </c:pt>
                <c:pt idx="49">
                  <c:v>39057</c:v>
                </c:pt>
                <c:pt idx="50">
                  <c:v>39058</c:v>
                </c:pt>
                <c:pt idx="51">
                  <c:v>39059</c:v>
                </c:pt>
                <c:pt idx="52">
                  <c:v>39060</c:v>
                </c:pt>
                <c:pt idx="53">
                  <c:v>39061</c:v>
                </c:pt>
                <c:pt idx="54">
                  <c:v>39062</c:v>
                </c:pt>
                <c:pt idx="55">
                  <c:v>39063</c:v>
                </c:pt>
                <c:pt idx="56">
                  <c:v>39064</c:v>
                </c:pt>
                <c:pt idx="57">
                  <c:v>39065</c:v>
                </c:pt>
                <c:pt idx="58">
                  <c:v>39066</c:v>
                </c:pt>
                <c:pt idx="59">
                  <c:v>39067</c:v>
                </c:pt>
                <c:pt idx="60">
                  <c:v>39068</c:v>
                </c:pt>
                <c:pt idx="61">
                  <c:v>39069</c:v>
                </c:pt>
                <c:pt idx="62">
                  <c:v>39070</c:v>
                </c:pt>
                <c:pt idx="63">
                  <c:v>39071</c:v>
                </c:pt>
                <c:pt idx="64">
                  <c:v>39072</c:v>
                </c:pt>
                <c:pt idx="65">
                  <c:v>39073</c:v>
                </c:pt>
                <c:pt idx="66">
                  <c:v>39074</c:v>
                </c:pt>
                <c:pt idx="67">
                  <c:v>39075</c:v>
                </c:pt>
                <c:pt idx="68">
                  <c:v>39076</c:v>
                </c:pt>
                <c:pt idx="69">
                  <c:v>39077</c:v>
                </c:pt>
                <c:pt idx="70">
                  <c:v>39078</c:v>
                </c:pt>
                <c:pt idx="71">
                  <c:v>39079</c:v>
                </c:pt>
                <c:pt idx="72">
                  <c:v>39080</c:v>
                </c:pt>
                <c:pt idx="73">
                  <c:v>39081</c:v>
                </c:pt>
                <c:pt idx="74">
                  <c:v>39082</c:v>
                </c:pt>
                <c:pt idx="75">
                  <c:v>39083</c:v>
                </c:pt>
                <c:pt idx="76">
                  <c:v>39084</c:v>
                </c:pt>
                <c:pt idx="77">
                  <c:v>39085</c:v>
                </c:pt>
                <c:pt idx="78">
                  <c:v>39086</c:v>
                </c:pt>
                <c:pt idx="79">
                  <c:v>39087</c:v>
                </c:pt>
                <c:pt idx="80">
                  <c:v>39088</c:v>
                </c:pt>
                <c:pt idx="81">
                  <c:v>39089</c:v>
                </c:pt>
                <c:pt idx="82">
                  <c:v>39090</c:v>
                </c:pt>
                <c:pt idx="83">
                  <c:v>39091</c:v>
                </c:pt>
                <c:pt idx="84">
                  <c:v>39092</c:v>
                </c:pt>
                <c:pt idx="85">
                  <c:v>39093</c:v>
                </c:pt>
                <c:pt idx="86">
                  <c:v>39094</c:v>
                </c:pt>
                <c:pt idx="87">
                  <c:v>39095</c:v>
                </c:pt>
                <c:pt idx="88">
                  <c:v>39096</c:v>
                </c:pt>
                <c:pt idx="89">
                  <c:v>39097</c:v>
                </c:pt>
                <c:pt idx="90">
                  <c:v>39098</c:v>
                </c:pt>
                <c:pt idx="91">
                  <c:v>39099</c:v>
                </c:pt>
                <c:pt idx="92">
                  <c:v>39100</c:v>
                </c:pt>
                <c:pt idx="93">
                  <c:v>39101</c:v>
                </c:pt>
                <c:pt idx="94">
                  <c:v>39102</c:v>
                </c:pt>
                <c:pt idx="95">
                  <c:v>39103</c:v>
                </c:pt>
                <c:pt idx="96">
                  <c:v>39104</c:v>
                </c:pt>
                <c:pt idx="97">
                  <c:v>39105</c:v>
                </c:pt>
                <c:pt idx="98">
                  <c:v>39106</c:v>
                </c:pt>
                <c:pt idx="99">
                  <c:v>39107</c:v>
                </c:pt>
                <c:pt idx="100">
                  <c:v>39108</c:v>
                </c:pt>
                <c:pt idx="101">
                  <c:v>39109</c:v>
                </c:pt>
                <c:pt idx="102">
                  <c:v>39110</c:v>
                </c:pt>
                <c:pt idx="103">
                  <c:v>39111</c:v>
                </c:pt>
                <c:pt idx="104">
                  <c:v>39112</c:v>
                </c:pt>
                <c:pt idx="105">
                  <c:v>39113</c:v>
                </c:pt>
                <c:pt idx="106">
                  <c:v>39114</c:v>
                </c:pt>
                <c:pt idx="107">
                  <c:v>39115</c:v>
                </c:pt>
                <c:pt idx="108">
                  <c:v>39116</c:v>
                </c:pt>
                <c:pt idx="109">
                  <c:v>39117</c:v>
                </c:pt>
                <c:pt idx="110">
                  <c:v>39118</c:v>
                </c:pt>
                <c:pt idx="111">
                  <c:v>39119</c:v>
                </c:pt>
                <c:pt idx="112">
                  <c:v>39120</c:v>
                </c:pt>
                <c:pt idx="113">
                  <c:v>39121</c:v>
                </c:pt>
                <c:pt idx="114">
                  <c:v>39122</c:v>
                </c:pt>
                <c:pt idx="115">
                  <c:v>39123</c:v>
                </c:pt>
                <c:pt idx="116">
                  <c:v>39124</c:v>
                </c:pt>
                <c:pt idx="117">
                  <c:v>39125</c:v>
                </c:pt>
                <c:pt idx="118">
                  <c:v>39126</c:v>
                </c:pt>
                <c:pt idx="119">
                  <c:v>39127</c:v>
                </c:pt>
                <c:pt idx="120">
                  <c:v>39128</c:v>
                </c:pt>
                <c:pt idx="121">
                  <c:v>39129</c:v>
                </c:pt>
                <c:pt idx="122">
                  <c:v>39130</c:v>
                </c:pt>
                <c:pt idx="123">
                  <c:v>39131</c:v>
                </c:pt>
                <c:pt idx="124">
                  <c:v>39132</c:v>
                </c:pt>
                <c:pt idx="125">
                  <c:v>39133</c:v>
                </c:pt>
                <c:pt idx="126">
                  <c:v>39134</c:v>
                </c:pt>
                <c:pt idx="127">
                  <c:v>39135</c:v>
                </c:pt>
                <c:pt idx="128">
                  <c:v>39136</c:v>
                </c:pt>
                <c:pt idx="129">
                  <c:v>39137</c:v>
                </c:pt>
                <c:pt idx="130">
                  <c:v>39138</c:v>
                </c:pt>
                <c:pt idx="131">
                  <c:v>39139</c:v>
                </c:pt>
                <c:pt idx="132">
                  <c:v>39140</c:v>
                </c:pt>
                <c:pt idx="133">
                  <c:v>39141</c:v>
                </c:pt>
                <c:pt idx="134">
                  <c:v>39142</c:v>
                </c:pt>
                <c:pt idx="135">
                  <c:v>39143</c:v>
                </c:pt>
                <c:pt idx="136">
                  <c:v>39144</c:v>
                </c:pt>
                <c:pt idx="137">
                  <c:v>39145</c:v>
                </c:pt>
                <c:pt idx="138">
                  <c:v>39146</c:v>
                </c:pt>
                <c:pt idx="139">
                  <c:v>39147</c:v>
                </c:pt>
                <c:pt idx="140">
                  <c:v>39148</c:v>
                </c:pt>
                <c:pt idx="141">
                  <c:v>39149</c:v>
                </c:pt>
                <c:pt idx="142">
                  <c:v>39150</c:v>
                </c:pt>
                <c:pt idx="143">
                  <c:v>39151</c:v>
                </c:pt>
                <c:pt idx="144">
                  <c:v>39152</c:v>
                </c:pt>
                <c:pt idx="145">
                  <c:v>39153</c:v>
                </c:pt>
                <c:pt idx="146">
                  <c:v>39154</c:v>
                </c:pt>
                <c:pt idx="147">
                  <c:v>39155</c:v>
                </c:pt>
                <c:pt idx="148">
                  <c:v>39156</c:v>
                </c:pt>
                <c:pt idx="149">
                  <c:v>39157</c:v>
                </c:pt>
                <c:pt idx="150">
                  <c:v>39158</c:v>
                </c:pt>
                <c:pt idx="151">
                  <c:v>39159</c:v>
                </c:pt>
                <c:pt idx="152">
                  <c:v>39160</c:v>
                </c:pt>
                <c:pt idx="153">
                  <c:v>39161</c:v>
                </c:pt>
                <c:pt idx="154">
                  <c:v>39162</c:v>
                </c:pt>
                <c:pt idx="155">
                  <c:v>39163</c:v>
                </c:pt>
                <c:pt idx="156">
                  <c:v>39164</c:v>
                </c:pt>
                <c:pt idx="157">
                  <c:v>39165</c:v>
                </c:pt>
                <c:pt idx="158">
                  <c:v>39166</c:v>
                </c:pt>
                <c:pt idx="159">
                  <c:v>39167</c:v>
                </c:pt>
                <c:pt idx="160">
                  <c:v>39168</c:v>
                </c:pt>
                <c:pt idx="161">
                  <c:v>39169</c:v>
                </c:pt>
                <c:pt idx="162">
                  <c:v>39170</c:v>
                </c:pt>
                <c:pt idx="163">
                  <c:v>39171</c:v>
                </c:pt>
                <c:pt idx="164">
                  <c:v>39172</c:v>
                </c:pt>
                <c:pt idx="165">
                  <c:v>39173</c:v>
                </c:pt>
                <c:pt idx="166">
                  <c:v>39174</c:v>
                </c:pt>
                <c:pt idx="167">
                  <c:v>39175</c:v>
                </c:pt>
                <c:pt idx="168">
                  <c:v>39176</c:v>
                </c:pt>
                <c:pt idx="169">
                  <c:v>39177</c:v>
                </c:pt>
                <c:pt idx="170">
                  <c:v>39178</c:v>
                </c:pt>
                <c:pt idx="171">
                  <c:v>39179</c:v>
                </c:pt>
                <c:pt idx="172">
                  <c:v>39180</c:v>
                </c:pt>
                <c:pt idx="173">
                  <c:v>39181</c:v>
                </c:pt>
                <c:pt idx="174">
                  <c:v>39182</c:v>
                </c:pt>
                <c:pt idx="175">
                  <c:v>39183</c:v>
                </c:pt>
                <c:pt idx="176">
                  <c:v>39184</c:v>
                </c:pt>
                <c:pt idx="177">
                  <c:v>39185</c:v>
                </c:pt>
                <c:pt idx="178">
                  <c:v>39186</c:v>
                </c:pt>
                <c:pt idx="179">
                  <c:v>39187</c:v>
                </c:pt>
                <c:pt idx="180">
                  <c:v>39188</c:v>
                </c:pt>
                <c:pt idx="181">
                  <c:v>39189</c:v>
                </c:pt>
                <c:pt idx="182">
                  <c:v>39190</c:v>
                </c:pt>
                <c:pt idx="183">
                  <c:v>39191</c:v>
                </c:pt>
                <c:pt idx="184">
                  <c:v>39192</c:v>
                </c:pt>
                <c:pt idx="185">
                  <c:v>39193</c:v>
                </c:pt>
                <c:pt idx="186">
                  <c:v>39194</c:v>
                </c:pt>
                <c:pt idx="187">
                  <c:v>39195</c:v>
                </c:pt>
                <c:pt idx="188">
                  <c:v>39196</c:v>
                </c:pt>
                <c:pt idx="189">
                  <c:v>39197</c:v>
                </c:pt>
                <c:pt idx="190">
                  <c:v>39198</c:v>
                </c:pt>
                <c:pt idx="191">
                  <c:v>39199</c:v>
                </c:pt>
                <c:pt idx="192">
                  <c:v>39200</c:v>
                </c:pt>
                <c:pt idx="193">
                  <c:v>39201</c:v>
                </c:pt>
                <c:pt idx="194">
                  <c:v>39202</c:v>
                </c:pt>
                <c:pt idx="195">
                  <c:v>39203</c:v>
                </c:pt>
                <c:pt idx="196">
                  <c:v>39204</c:v>
                </c:pt>
                <c:pt idx="197">
                  <c:v>39205</c:v>
                </c:pt>
                <c:pt idx="198">
                  <c:v>39206</c:v>
                </c:pt>
                <c:pt idx="199">
                  <c:v>39207</c:v>
                </c:pt>
                <c:pt idx="200">
                  <c:v>39208</c:v>
                </c:pt>
                <c:pt idx="201">
                  <c:v>39209</c:v>
                </c:pt>
                <c:pt idx="202">
                  <c:v>39210</c:v>
                </c:pt>
                <c:pt idx="203">
                  <c:v>39211</c:v>
                </c:pt>
                <c:pt idx="204">
                  <c:v>39212</c:v>
                </c:pt>
                <c:pt idx="205">
                  <c:v>39213</c:v>
                </c:pt>
                <c:pt idx="206">
                  <c:v>39214</c:v>
                </c:pt>
                <c:pt idx="207">
                  <c:v>39215</c:v>
                </c:pt>
                <c:pt idx="208">
                  <c:v>39216</c:v>
                </c:pt>
                <c:pt idx="209">
                  <c:v>39217</c:v>
                </c:pt>
                <c:pt idx="210">
                  <c:v>39218</c:v>
                </c:pt>
                <c:pt idx="211">
                  <c:v>39219</c:v>
                </c:pt>
                <c:pt idx="212">
                  <c:v>39220</c:v>
                </c:pt>
                <c:pt idx="213">
                  <c:v>39221</c:v>
                </c:pt>
                <c:pt idx="214">
                  <c:v>39222</c:v>
                </c:pt>
                <c:pt idx="215">
                  <c:v>39223</c:v>
                </c:pt>
                <c:pt idx="216">
                  <c:v>39224</c:v>
                </c:pt>
                <c:pt idx="217">
                  <c:v>39225</c:v>
                </c:pt>
                <c:pt idx="218">
                  <c:v>39226</c:v>
                </c:pt>
                <c:pt idx="219">
                  <c:v>39227</c:v>
                </c:pt>
                <c:pt idx="220">
                  <c:v>39228</c:v>
                </c:pt>
                <c:pt idx="221">
                  <c:v>39229</c:v>
                </c:pt>
                <c:pt idx="222">
                  <c:v>39230</c:v>
                </c:pt>
                <c:pt idx="223">
                  <c:v>39231</c:v>
                </c:pt>
                <c:pt idx="224">
                  <c:v>39232</c:v>
                </c:pt>
                <c:pt idx="225">
                  <c:v>39233</c:v>
                </c:pt>
                <c:pt idx="226">
                  <c:v>39234</c:v>
                </c:pt>
                <c:pt idx="227">
                  <c:v>39235</c:v>
                </c:pt>
                <c:pt idx="228">
                  <c:v>39236</c:v>
                </c:pt>
                <c:pt idx="229">
                  <c:v>39237</c:v>
                </c:pt>
                <c:pt idx="230">
                  <c:v>39238</c:v>
                </c:pt>
                <c:pt idx="231">
                  <c:v>39239</c:v>
                </c:pt>
                <c:pt idx="232">
                  <c:v>39240</c:v>
                </c:pt>
                <c:pt idx="233">
                  <c:v>39241</c:v>
                </c:pt>
                <c:pt idx="234">
                  <c:v>39242</c:v>
                </c:pt>
                <c:pt idx="235">
                  <c:v>39243</c:v>
                </c:pt>
                <c:pt idx="236">
                  <c:v>39244</c:v>
                </c:pt>
                <c:pt idx="237">
                  <c:v>39245</c:v>
                </c:pt>
                <c:pt idx="238">
                  <c:v>39246</c:v>
                </c:pt>
                <c:pt idx="239">
                  <c:v>39247</c:v>
                </c:pt>
                <c:pt idx="240">
                  <c:v>39248</c:v>
                </c:pt>
                <c:pt idx="241">
                  <c:v>39249</c:v>
                </c:pt>
                <c:pt idx="242">
                  <c:v>39250</c:v>
                </c:pt>
                <c:pt idx="243">
                  <c:v>39251</c:v>
                </c:pt>
                <c:pt idx="244">
                  <c:v>39252</c:v>
                </c:pt>
                <c:pt idx="245">
                  <c:v>39253</c:v>
                </c:pt>
                <c:pt idx="246">
                  <c:v>39254</c:v>
                </c:pt>
                <c:pt idx="247">
                  <c:v>39255</c:v>
                </c:pt>
                <c:pt idx="248">
                  <c:v>39256</c:v>
                </c:pt>
                <c:pt idx="249">
                  <c:v>39257</c:v>
                </c:pt>
                <c:pt idx="250">
                  <c:v>39258</c:v>
                </c:pt>
                <c:pt idx="251">
                  <c:v>39259</c:v>
                </c:pt>
                <c:pt idx="252">
                  <c:v>39260</c:v>
                </c:pt>
                <c:pt idx="253">
                  <c:v>39261</c:v>
                </c:pt>
                <c:pt idx="254">
                  <c:v>39262</c:v>
                </c:pt>
                <c:pt idx="255">
                  <c:v>39263</c:v>
                </c:pt>
                <c:pt idx="256">
                  <c:v>39264</c:v>
                </c:pt>
                <c:pt idx="257">
                  <c:v>39265</c:v>
                </c:pt>
                <c:pt idx="258">
                  <c:v>39266</c:v>
                </c:pt>
                <c:pt idx="259">
                  <c:v>39267</c:v>
                </c:pt>
                <c:pt idx="260">
                  <c:v>39268</c:v>
                </c:pt>
                <c:pt idx="261">
                  <c:v>39269</c:v>
                </c:pt>
                <c:pt idx="262">
                  <c:v>39270</c:v>
                </c:pt>
                <c:pt idx="263">
                  <c:v>39271</c:v>
                </c:pt>
                <c:pt idx="264">
                  <c:v>39272</c:v>
                </c:pt>
                <c:pt idx="265">
                  <c:v>39273</c:v>
                </c:pt>
                <c:pt idx="266">
                  <c:v>39274</c:v>
                </c:pt>
                <c:pt idx="267">
                  <c:v>39275</c:v>
                </c:pt>
                <c:pt idx="268">
                  <c:v>39276</c:v>
                </c:pt>
                <c:pt idx="269">
                  <c:v>39277</c:v>
                </c:pt>
                <c:pt idx="270">
                  <c:v>39278</c:v>
                </c:pt>
              </c:numCache>
            </c:numRef>
          </c:xVal>
          <c:yVal>
            <c:numRef>
              <c:f>'SAMIR_ex_blé TLS'!$E$15:$E$502</c:f>
              <c:numCache>
                <c:formatCode>0.000</c:formatCode>
                <c:ptCount val="48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numCache>
            </c:numRef>
          </c:yVal>
          <c:smooth val="0"/>
        </c:ser>
        <c:dLbls>
          <c:showLegendKey val="0"/>
          <c:showVal val="0"/>
          <c:showCatName val="0"/>
          <c:showSerName val="0"/>
          <c:showPercent val="0"/>
          <c:showBubbleSize val="1"/>
        </c:dLbls>
        <c:axId val="76056837"/>
        <c:axId val="34035653"/>
      </c:scatterChart>
      <c:valAx>
        <c:axId val="76056837"/>
        <c:scaling>
          <c:orientation val="minMax"/>
          <c:max val="39300"/>
          <c:min val="39008"/>
        </c:scaling>
        <c:delete val="0"/>
        <c:axPos val="b"/>
        <c:numFmt formatCode="dd/mm/yy;@" sourceLinked="0"/>
        <c:majorTickMark val="out"/>
        <c:minorTickMark val="none"/>
        <c:tickLblPos val="nextTo"/>
        <c:spPr>
          <a:ln w="9360" cap="flat" cmpd="sng" algn="ctr">
            <a:solidFill>
              <a:srgbClr val="878787"/>
            </a:solidFill>
            <a:prstDash val="solid"/>
            <a:round/>
          </a:ln>
        </c:spPr>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34035653"/>
        <c:crosses val="autoZero"/>
        <c:crossBetween val="midCat"/>
        <c:majorUnit val="61"/>
      </c:valAx>
      <c:valAx>
        <c:axId val="34035653"/>
        <c:scaling>
          <c:orientation val="minMax"/>
        </c:scaling>
        <c:delete val="0"/>
        <c:axPos val="l"/>
        <c:majorGridlines>
          <c:spPr>
            <a:ln w="9360" cap="flat" cmpd="sng" algn="ctr">
              <a:solidFill>
                <a:srgbClr val="878787"/>
              </a:solidFill>
              <a:prstDash val="solid"/>
              <a:round/>
            </a:ln>
          </c:spPr>
        </c:majorGridlines>
        <c:numFmt formatCode="0.0" sourceLinked="0"/>
        <c:majorTickMark val="out"/>
        <c:minorTickMark val="none"/>
        <c:tickLblPos val="nextTo"/>
        <c:spPr>
          <a:ln w="9360" cap="flat" cmpd="sng" algn="ctr">
            <a:solidFill>
              <a:srgbClr val="878787"/>
            </a:solidFill>
            <a:prstDash val="solid"/>
            <a:round/>
          </a:ln>
        </c:spPr>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76056837"/>
        <c:crosses val="autoZero"/>
        <c:crossBetween val="midCat"/>
      </c:valAx>
      <c:spPr>
        <a:solidFill>
          <a:srgbClr val="FFFFFF"/>
        </a:solidFill>
        <a:ln>
          <a:noFill/>
        </a:ln>
      </c:spPr>
    </c:plotArea>
    <c:legend>
      <c:legendPos val="r"/>
      <c:layout>
        <c:manualLayout>
          <c:xMode val="edge"/>
          <c:yMode val="edge"/>
          <c:x val="0.779821968008718"/>
          <c:y val="0.209367258844711"/>
        </c:manualLayout>
      </c:layout>
      <c:overlay val="0"/>
      <c:spPr>
        <a:noFill/>
        <a:ln>
          <a:noFill/>
        </a:ln>
      </c:spPr>
      <c:txPr>
        <a:bodyPr rot="0" spcFirstLastPara="0" vertOverflow="ellipsis" vert="horz" wrap="square" anchor="ctr" anchorCtr="1"/>
        <a:lstStyle/>
        <a:p>
          <a:pPr>
            <a:defRPr lang="en-US" sz="1000" b="0" i="0" u="none" strike="noStrike" kern="1200" baseline="0">
              <a:solidFill>
                <a:schemeClr val="tx1"/>
              </a:solidFill>
              <a:latin typeface="+mn-lt"/>
              <a:ea typeface="+mn-ea"/>
              <a:cs typeface="+mn-cs"/>
            </a:defRPr>
          </a:pPr>
        </a:p>
      </c:txPr>
    </c:legend>
    <c:plotVisOnly val="1"/>
    <c:dispBlanksAs val="gap"/>
    <c:showDLblsOverMax val="0"/>
  </c:chart>
  <c:spPr>
    <a:solidFill>
      <a:srgbClr val="FFFFFF"/>
    </a:solidFill>
    <a:ln w="6350" cap="flat" cmpd="sng" algn="ctr">
      <a:noFill/>
      <a:prstDash val="solid"/>
      <a:round/>
    </a:ln>
  </c:spPr>
  <c:txPr>
    <a:bodyPr/>
    <a:lstStyle/>
    <a:p>
      <a:pPr>
        <a:defRPr lang="en-US"/>
      </a:pP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'SAMIR_ex_blé TLS'!$G$14</c:f>
              <c:strCache>
                <c:ptCount val="1"/>
                <c:pt idx="0">
                  <c:v>fc</c:v>
                </c:pt>
              </c:strCache>
            </c:strRef>
          </c:tx>
          <c:spPr>
            <a:ln w="28440" cap="rnd" cmpd="sng" algn="ctr">
              <a:solidFill>
                <a:srgbClr val="4A7EBB"/>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val>
            <c:numRef>
              <c:f>'SAMIR_ex_blé TLS'!$G$15:$G$137</c:f>
              <c:numCache>
                <c:formatCode>0.000</c:formatCode>
                <c:ptCount val="123"/>
                <c:pt idx="0">
                  <c:v>0.126666666666667</c:v>
                </c:pt>
                <c:pt idx="1" c:formatCode="General">
                  <c:v>0.126666666666667</c:v>
                </c:pt>
                <c:pt idx="2" c:formatCode="General">
                  <c:v>0.126666666666667</c:v>
                </c:pt>
                <c:pt idx="3" c:formatCode="General">
                  <c:v>0.126666666666667</c:v>
                </c:pt>
                <c:pt idx="4" c:formatCode="General">
                  <c:v>0.125333333333333</c:v>
                </c:pt>
                <c:pt idx="5" c:formatCode="General">
                  <c:v>0.125333333333333</c:v>
                </c:pt>
                <c:pt idx="6" c:formatCode="General">
                  <c:v>0.125333333333333</c:v>
                </c:pt>
                <c:pt idx="7" c:formatCode="General">
                  <c:v>0.125333333333333</c:v>
                </c:pt>
                <c:pt idx="8" c:formatCode="General">
                  <c:v>0.125333333333333</c:v>
                </c:pt>
                <c:pt idx="9" c:formatCode="General">
                  <c:v>0.125333333333333</c:v>
                </c:pt>
                <c:pt idx="10" c:formatCode="General">
                  <c:v>0.124</c:v>
                </c:pt>
                <c:pt idx="11" c:formatCode="General">
                  <c:v>0.124</c:v>
                </c:pt>
                <c:pt idx="12" c:formatCode="General">
                  <c:v>0.124</c:v>
                </c:pt>
                <c:pt idx="13" c:formatCode="General">
                  <c:v>0.146666666666667</c:v>
                </c:pt>
                <c:pt idx="14" c:formatCode="General">
                  <c:v>0.168</c:v>
                </c:pt>
                <c:pt idx="15" c:formatCode="General">
                  <c:v>0.189333333333333</c:v>
                </c:pt>
                <c:pt idx="16" c:formatCode="General">
                  <c:v>0.188</c:v>
                </c:pt>
                <c:pt idx="17" c:formatCode="General">
                  <c:v>0.186666666666667</c:v>
                </c:pt>
                <c:pt idx="18" c:formatCode="General">
                  <c:v>0.184</c:v>
                </c:pt>
                <c:pt idx="19" c:formatCode="General">
                  <c:v>0.194666666666667</c:v>
                </c:pt>
                <c:pt idx="20" c:formatCode="General">
                  <c:v>0.205333333333333</c:v>
                </c:pt>
                <c:pt idx="21" c:formatCode="General">
                  <c:v>0.217333333333333</c:v>
                </c:pt>
                <c:pt idx="22" c:formatCode="General">
                  <c:v>0.228</c:v>
                </c:pt>
                <c:pt idx="23" c:formatCode="General">
                  <c:v>0.238666666666667</c:v>
                </c:pt>
                <c:pt idx="24" c:formatCode="General">
                  <c:v>0.249333333333333</c:v>
                </c:pt>
                <c:pt idx="25" c:formatCode="General">
                  <c:v>0.26</c:v>
                </c:pt>
                <c:pt idx="26" c:formatCode="General">
                  <c:v>0.270666666666667</c:v>
                </c:pt>
                <c:pt idx="27" c:formatCode="General">
                  <c:v>0.281333333333333</c:v>
                </c:pt>
                <c:pt idx="28" c:formatCode="General">
                  <c:v>0.297333333333333</c:v>
                </c:pt>
                <c:pt idx="29" c:formatCode="General">
                  <c:v>0.312</c:v>
                </c:pt>
                <c:pt idx="30" c:formatCode="General">
                  <c:v>0.326666666666667</c:v>
                </c:pt>
                <c:pt idx="31" c:formatCode="General">
                  <c:v>0.341333333333333</c:v>
                </c:pt>
                <c:pt idx="32" c:formatCode="General">
                  <c:v>0.357333333333333</c:v>
                </c:pt>
                <c:pt idx="33" c:formatCode="General">
                  <c:v>0.372</c:v>
                </c:pt>
                <c:pt idx="34" c:formatCode="General">
                  <c:v>0.386666666666667</c:v>
                </c:pt>
                <c:pt idx="35" c:formatCode="General">
                  <c:v>0.402666666666667</c:v>
                </c:pt>
                <c:pt idx="36" c:formatCode="General">
                  <c:v>0.417333333333333</c:v>
                </c:pt>
                <c:pt idx="37" c:formatCode="General">
                  <c:v>0.421333333333333</c:v>
                </c:pt>
                <c:pt idx="38" c:formatCode="General">
                  <c:v>0.425333333333333</c:v>
                </c:pt>
                <c:pt idx="39" c:formatCode="General">
                  <c:v>0.429333333333333</c:v>
                </c:pt>
                <c:pt idx="40" c:formatCode="General">
                  <c:v>0.434666666666667</c:v>
                </c:pt>
                <c:pt idx="41" c:formatCode="General">
                  <c:v>0.438666666666667</c:v>
                </c:pt>
                <c:pt idx="42" c:formatCode="General">
                  <c:v>0.442666666666667</c:v>
                </c:pt>
                <c:pt idx="43" c:formatCode="General">
                  <c:v>0.446666666666667</c:v>
                </c:pt>
                <c:pt idx="44" c:formatCode="General">
                  <c:v>0.450666666666667</c:v>
                </c:pt>
                <c:pt idx="45" c:formatCode="General">
                  <c:v>0.456</c:v>
                </c:pt>
                <c:pt idx="46" c:formatCode="General">
                  <c:v>0.46</c:v>
                </c:pt>
                <c:pt idx="47" c:formatCode="General">
                  <c:v>0.464</c:v>
                </c:pt>
                <c:pt idx="48" c:formatCode="General">
                  <c:v>0.468</c:v>
                </c:pt>
                <c:pt idx="49" c:formatCode="General">
                  <c:v>0.472</c:v>
                </c:pt>
                <c:pt idx="50" c:formatCode="General">
                  <c:v>0.477333333333333</c:v>
                </c:pt>
                <c:pt idx="51" c:formatCode="General">
                  <c:v>0.481333333333333</c:v>
                </c:pt>
                <c:pt idx="52" c:formatCode="General">
                  <c:v>0.485333333333333</c:v>
                </c:pt>
                <c:pt idx="53" c:formatCode="General">
                  <c:v>0.489333333333333</c:v>
                </c:pt>
                <c:pt idx="54" c:formatCode="General">
                  <c:v>0.493333333333333</c:v>
                </c:pt>
                <c:pt idx="55" c:formatCode="General">
                  <c:v>0.497333333333333</c:v>
                </c:pt>
                <c:pt idx="56" c:formatCode="General">
                  <c:v>0.502666666666667</c:v>
                </c:pt>
                <c:pt idx="57" c:formatCode="General">
                  <c:v>0.506666666666667</c:v>
                </c:pt>
                <c:pt idx="58" c:formatCode="General">
                  <c:v>0.510666666666667</c:v>
                </c:pt>
                <c:pt idx="59" c:formatCode="General">
                  <c:v>0.514666666666667</c:v>
                </c:pt>
                <c:pt idx="60" c:formatCode="General">
                  <c:v>0.518666666666667</c:v>
                </c:pt>
                <c:pt idx="61" c:formatCode="General">
                  <c:v>0.524</c:v>
                </c:pt>
                <c:pt idx="62" c:formatCode="General">
                  <c:v>0.528</c:v>
                </c:pt>
                <c:pt idx="63" c:formatCode="General">
                  <c:v>0.532</c:v>
                </c:pt>
                <c:pt idx="64" c:formatCode="General">
                  <c:v>0.536</c:v>
                </c:pt>
                <c:pt idx="65" c:formatCode="General">
                  <c:v>0.54</c:v>
                </c:pt>
                <c:pt idx="66" c:formatCode="General">
                  <c:v>0.545333333333333</c:v>
                </c:pt>
                <c:pt idx="67" c:formatCode="General">
                  <c:v>0.549333333333333</c:v>
                </c:pt>
                <c:pt idx="68" c:formatCode="General">
                  <c:v>0.553333333333333</c:v>
                </c:pt>
                <c:pt idx="69" c:formatCode="General">
                  <c:v>0.557333333333333</c:v>
                </c:pt>
                <c:pt idx="70" c:formatCode="General">
                  <c:v>0.561333333333333</c:v>
                </c:pt>
                <c:pt idx="71" c:formatCode="General">
                  <c:v>0.566666666666667</c:v>
                </c:pt>
                <c:pt idx="72" c:formatCode="General">
                  <c:v>0.570666666666667</c:v>
                </c:pt>
                <c:pt idx="73" c:formatCode="General">
                  <c:v>0.574666666666667</c:v>
                </c:pt>
                <c:pt idx="74" c:formatCode="General">
                  <c:v>0.578666666666667</c:v>
                </c:pt>
                <c:pt idx="75" c:formatCode="General">
                  <c:v>0.582666666666667</c:v>
                </c:pt>
                <c:pt idx="76" c:formatCode="General">
                  <c:v>0.586666666666667</c:v>
                </c:pt>
                <c:pt idx="77" c:formatCode="General">
                  <c:v>0.592</c:v>
                </c:pt>
                <c:pt idx="78" c:formatCode="General">
                  <c:v>0.596</c:v>
                </c:pt>
                <c:pt idx="79" c:formatCode="General">
                  <c:v>0.6</c:v>
                </c:pt>
                <c:pt idx="80" c:formatCode="General">
                  <c:v>0.604</c:v>
                </c:pt>
                <c:pt idx="81" c:formatCode="General">
                  <c:v>0.608</c:v>
                </c:pt>
                <c:pt idx="82" c:formatCode="General">
                  <c:v>0.613333333333333</c:v>
                </c:pt>
                <c:pt idx="83" c:formatCode="General">
                  <c:v>0.617333333333333</c:v>
                </c:pt>
                <c:pt idx="84" c:formatCode="General">
                  <c:v>0.621333333333333</c:v>
                </c:pt>
                <c:pt idx="85" c:formatCode="General">
                  <c:v>0.625333333333333</c:v>
                </c:pt>
                <c:pt idx="86" c:formatCode="General">
                  <c:v>0.629333333333333</c:v>
                </c:pt>
                <c:pt idx="87" c:formatCode="General">
                  <c:v>0.634666666666667</c:v>
                </c:pt>
                <c:pt idx="88" c:formatCode="General">
                  <c:v>0.638666666666667</c:v>
                </c:pt>
                <c:pt idx="89" c:formatCode="General">
                  <c:v>0.642666666666667</c:v>
                </c:pt>
                <c:pt idx="90" c:formatCode="General">
                  <c:v>0.646666666666667</c:v>
                </c:pt>
                <c:pt idx="91" c:formatCode="General">
                  <c:v>0.650666666666667</c:v>
                </c:pt>
                <c:pt idx="92" c:formatCode="General">
                  <c:v>0.656</c:v>
                </c:pt>
                <c:pt idx="93" c:formatCode="General">
                  <c:v>0.66</c:v>
                </c:pt>
                <c:pt idx="94" c:formatCode="General">
                  <c:v>0.664</c:v>
                </c:pt>
                <c:pt idx="95" c:formatCode="General">
                  <c:v>0.668</c:v>
                </c:pt>
                <c:pt idx="96" c:formatCode="General">
                  <c:v>0.672</c:v>
                </c:pt>
                <c:pt idx="97" c:formatCode="General">
                  <c:v>0.677333333333333</c:v>
                </c:pt>
                <c:pt idx="98" c:formatCode="General">
                  <c:v>0.681333333333333</c:v>
                </c:pt>
                <c:pt idx="99" c:formatCode="General">
                  <c:v>0.685333333333333</c:v>
                </c:pt>
                <c:pt idx="100" c:formatCode="General">
                  <c:v>0.689333333333333</c:v>
                </c:pt>
                <c:pt idx="101" c:formatCode="General">
                  <c:v>0.693333333333333</c:v>
                </c:pt>
                <c:pt idx="102" c:formatCode="General">
                  <c:v>0.697333333333333</c:v>
                </c:pt>
                <c:pt idx="103" c:formatCode="General">
                  <c:v>0.702666666666667</c:v>
                </c:pt>
                <c:pt idx="104" c:formatCode="General">
                  <c:v>0.706666666666667</c:v>
                </c:pt>
                <c:pt idx="105" c:formatCode="General">
                  <c:v>0.710666666666667</c:v>
                </c:pt>
                <c:pt idx="106" c:formatCode="General">
                  <c:v>0.714666666666667</c:v>
                </c:pt>
                <c:pt idx="107" c:formatCode="General">
                  <c:v>0.718666666666667</c:v>
                </c:pt>
                <c:pt idx="108" c:formatCode="General">
                  <c:v>0.724</c:v>
                </c:pt>
                <c:pt idx="109" c:formatCode="General">
                  <c:v>0.728</c:v>
                </c:pt>
                <c:pt idx="110" c:formatCode="General">
                  <c:v>0.732</c:v>
                </c:pt>
                <c:pt idx="111" c:formatCode="General">
                  <c:v>0.736</c:v>
                </c:pt>
                <c:pt idx="112" c:formatCode="General">
                  <c:v>0.74</c:v>
                </c:pt>
                <c:pt idx="113" c:formatCode="General">
                  <c:v>0.745333333333333</c:v>
                </c:pt>
                <c:pt idx="114" c:formatCode="General">
                  <c:v>0.749333333333333</c:v>
                </c:pt>
                <c:pt idx="115" c:formatCode="General">
                  <c:v>0.753333333333333</c:v>
                </c:pt>
                <c:pt idx="116" c:formatCode="General">
                  <c:v>0.757333333333333</c:v>
                </c:pt>
                <c:pt idx="117" c:formatCode="General">
                  <c:v>0.761333333333333</c:v>
                </c:pt>
                <c:pt idx="118" c:formatCode="General">
                  <c:v>0.766666666666667</c:v>
                </c:pt>
                <c:pt idx="119" c:formatCode="General">
                  <c:v>0.770666666666667</c:v>
                </c:pt>
                <c:pt idx="120" c:formatCode="General">
                  <c:v>0.774666666666667</c:v>
                </c:pt>
                <c:pt idx="121" c:formatCode="General">
                  <c:v>0.778666666666667</c:v>
                </c:pt>
                <c:pt idx="122" c:formatCode="General">
                  <c:v>0.782666666666667</c:v>
                </c:pt>
              </c:numCache>
            </c:numRef>
          </c:val>
          <c:smooth val="0"/>
        </c:ser>
        <c:ser>
          <c:idx val="1"/>
          <c:order val="1"/>
          <c:tx>
            <c:strRef>
              <c:f>'SAMIR_ex_blé TLS'!$L$14</c:f>
              <c:strCache>
                <c:ptCount val="1"/>
                <c:pt idx="0">
                  <c:v/>
                </c:pt>
              </c:strCache>
            </c:strRef>
          </c:tx>
          <c:spPr>
            <a:ln w="28440" cap="rnd" cmpd="sng" algn="ctr">
              <a:solidFill>
                <a:srgbClr val="BE4B48"/>
              </a:solidFill>
              <a:prstDash val="solid"/>
              <a:round/>
            </a:ln>
          </c:spPr>
          <c:marker>
            <c:symbol val="none"/>
          </c:marker>
          <c:dLbls>
            <c:spPr>
              <a:noFill/>
              <a:ln>
                <a:noFill/>
              </a:ln>
              <a:effectLst/>
            </c:spPr>
            <c:txPr>
              <a:bodyPr rot="0" spcFirstLastPara="0" vertOverflow="ellipsis" vert="horz" wrap="square" lIns="38100" tIns="19050" rIns="38100" bIns="19050" anchor="ctr" anchorCtr="1"/>
              <a:lstStyle/>
              <a:p>
                <a:pPr>
                  <a:defRPr lang="en-US" sz="1000" b="0" i="0" u="none" strike="noStrike" kern="1200" baseline="0">
                    <a:solidFill>
                      <a:schemeClr val="tx1"/>
                    </a:solidFill>
                    <a:latin typeface="+mn-lt"/>
                    <a:ea typeface="+mn-ea"/>
                    <a:cs typeface="+mn-cs"/>
                  </a:defRPr>
                </a:pPr>
              </a:p>
            </c:txPr>
            <c:dLblPos val="r"/>
            <c:showLegendKey val="0"/>
            <c:showVal val="0"/>
            <c:showCatName val="0"/>
            <c:showSerName val="0"/>
            <c:showPercent val="0"/>
            <c:showBubbleSize val="1"/>
            <c:showLeaderLines val="0"/>
            <c:extLst>
              <c:ext xmlns:c15="http://schemas.microsoft.com/office/drawing/2012/chart" uri="{CE6537A1-D6FC-4f65-9D91-7224C49458BB}">
                <c15:layout/>
                <c15:showLeaderLines val="0"/>
                <c15:leaderLines/>
              </c:ext>
            </c:extLst>
          </c:dLbls>
          <c:val>
            <c:numRef>
              <c:f>'SAMIR_ex_blé TLS'!$L$15:$L$137</c:f>
              <c:numCache>
                <c:formatCode>General</c:formatCode>
                <c:ptCount val="123"/>
              </c:numCache>
            </c:numRef>
          </c:val>
          <c:smooth val="0"/>
        </c:ser>
        <c:dLbls>
          <c:showLegendKey val="0"/>
          <c:showVal val="0"/>
          <c:showCatName val="0"/>
          <c:showSerName val="0"/>
          <c:showPercent val="0"/>
          <c:showBubbleSize val="1"/>
        </c:dLbls>
        <c:hiLowLines>
          <c:spPr>
            <a:ln w="6350" cap="flat" cmpd="sng" algn="ctr">
              <a:noFill/>
              <a:prstDash val="solid"/>
              <a:round/>
            </a:ln>
          </c:spPr>
        </c:hiLowLines>
        <c:marker val="0"/>
        <c:smooth val="0"/>
        <c:axId val="27936505"/>
        <c:axId val="65449451"/>
      </c:lineChart>
      <c:catAx>
        <c:axId val="27936505"/>
        <c:scaling>
          <c:orientation val="minMax"/>
        </c:scaling>
        <c:delete val="0"/>
        <c:axPos val="b"/>
        <c:numFmt formatCode="General" sourceLinked="1"/>
        <c:majorTickMark val="out"/>
        <c:minorTickMark val="none"/>
        <c:tickLblPos val="nextTo"/>
        <c:spPr>
          <a:ln w="9360" cap="flat" cmpd="sng" algn="ctr">
            <a:solidFill>
              <a:srgbClr val="878787"/>
            </a:solidFill>
            <a:prstDash val="solid"/>
            <a:round/>
          </a:ln>
        </c:spPr>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65449451"/>
        <c:crosses val="autoZero"/>
        <c:auto val="1"/>
        <c:lblAlgn val="ctr"/>
        <c:lblOffset val="100"/>
        <c:noMultiLvlLbl val="0"/>
      </c:catAx>
      <c:valAx>
        <c:axId val="65449451"/>
        <c:scaling>
          <c:orientation val="minMax"/>
        </c:scaling>
        <c:delete val="0"/>
        <c:axPos val="l"/>
        <c:majorGridlines>
          <c:spPr>
            <a:ln w="9360" cap="flat" cmpd="sng" algn="ctr">
              <a:solidFill>
                <a:srgbClr val="878787"/>
              </a:solidFill>
              <a:prstDash val="solid"/>
              <a:round/>
            </a:ln>
          </c:spPr>
        </c:majorGridlines>
        <c:numFmt formatCode="0.000" sourceLinked="0"/>
        <c:majorTickMark val="out"/>
        <c:minorTickMark val="none"/>
        <c:tickLblPos val="nextTo"/>
        <c:spPr>
          <a:ln w="9360" cap="flat" cmpd="sng" algn="ctr">
            <a:solidFill>
              <a:srgbClr val="878787"/>
            </a:solidFill>
            <a:prstDash val="solid"/>
            <a:round/>
          </a:ln>
        </c:spPr>
        <c:txPr>
          <a:bodyPr rot="-60000000" spcFirstLastPara="0" vertOverflow="ellipsis" vert="horz" wrap="square" anchor="ctr" anchorCtr="1"/>
          <a:lstStyle/>
          <a:p>
            <a:pPr>
              <a:defRPr lang="en-US" sz="1000" b="0" i="0" u="none" strike="noStrike" kern="1200" spc="-1" baseline="0">
                <a:solidFill>
                  <a:srgbClr val="000000"/>
                </a:solidFill>
                <a:uFill>
                  <a:solidFill>
                    <a:srgbClr val="FFFFFF"/>
                  </a:solidFill>
                </a:uFill>
                <a:latin typeface="Calibri"/>
                <a:ea typeface="Calibri"/>
                <a:cs typeface="+mn-cs"/>
              </a:defRPr>
            </a:pPr>
          </a:p>
        </c:txPr>
        <c:crossAx val="27936505"/>
        <c:crosses val="autoZero"/>
        <c:crossBetween val="midCat"/>
      </c:valAx>
      <c:spPr>
        <a:solidFill>
          <a:srgbClr val="FFFFFF"/>
        </a:solidFill>
        <a:ln>
          <a:noFill/>
        </a:ln>
      </c:spPr>
    </c:plotArea>
    <c:legend>
      <c:legendPos val="r"/>
      <c:layout>
        <c:manualLayout>
          <c:xMode val="edge"/>
          <c:yMode val="edge"/>
          <c:x val="0.724458204334366"/>
          <c:y val="0.204379562043796"/>
        </c:manualLayout>
      </c:layout>
      <c:overlay val="0"/>
      <c:spPr>
        <a:noFill/>
        <a:ln>
          <a:noFill/>
        </a:ln>
      </c:spPr>
      <c:txPr>
        <a:bodyPr rot="0" spcFirstLastPara="0" vertOverflow="ellipsis" vert="horz" wrap="square" anchor="ctr" anchorCtr="1"/>
        <a:lstStyle/>
        <a:p>
          <a:pPr>
            <a:defRPr lang="en-US" sz="1000" b="0" i="0" u="none" strike="noStrike" kern="1200" baseline="0">
              <a:solidFill>
                <a:schemeClr val="tx1"/>
              </a:solidFill>
              <a:latin typeface="+mn-lt"/>
              <a:ea typeface="+mn-ea"/>
              <a:cs typeface="+mn-cs"/>
            </a:defRPr>
          </a:pPr>
        </a:p>
      </c:txPr>
    </c:legend>
    <c:plotVisOnly val="1"/>
    <c:dispBlanksAs val="gap"/>
    <c:showDLblsOverMax val="0"/>
  </c:chart>
  <c:spPr>
    <a:solidFill>
      <a:srgbClr val="FFFFFF"/>
    </a:solidFill>
    <a:ln w="6350" cap="flat" cmpd="sng" algn="ctr">
      <a:noFill/>
      <a:prstDash val="solid"/>
      <a:round/>
    </a:ln>
  </c:spPr>
  <c:txPr>
    <a:bodyPr/>
    <a:lstStyle/>
    <a:p>
      <a:pPr>
        <a:defRPr lang="en-US"/>
      </a:pPr>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5" Type="http://schemas.openxmlformats.org/officeDocument/2006/relationships/chart" Target="../charts/chart5.xml"/><Relationship Id="rId4" Type="http://schemas.openxmlformats.org/officeDocument/2006/relationships/chart" Target="../charts/chart4.xml"/><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7" Type="http://schemas.openxmlformats.org/officeDocument/2006/relationships/image" Target="../media/image7.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16</xdr:row>
      <xdr:rowOff>104760</xdr:rowOff>
    </xdr:from>
    <xdr:to>
      <xdr:col>35</xdr:col>
      <xdr:colOff>304560</xdr:colOff>
      <xdr:row>32</xdr:row>
      <xdr:rowOff>171000</xdr:rowOff>
    </xdr:to>
    <xdr:graphicFrame>
      <xdr:nvGraphicFramePr>
        <xdr:cNvPr id="2" name="Graphique 5"/>
        <xdr:cNvGraphicFramePr/>
      </xdr:nvGraphicFramePr>
      <xdr:xfrm>
        <a:off x="0" y="3152140"/>
        <a:ext cx="23543895" cy="3114675"/>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32</xdr:row>
      <xdr:rowOff>104760</xdr:rowOff>
    </xdr:from>
    <xdr:to>
      <xdr:col>35</xdr:col>
      <xdr:colOff>313920</xdr:colOff>
      <xdr:row>45</xdr:row>
      <xdr:rowOff>47160</xdr:rowOff>
    </xdr:to>
    <xdr:graphicFrame>
      <xdr:nvGraphicFramePr>
        <xdr:cNvPr id="3" name="Graphique 2"/>
        <xdr:cNvGraphicFramePr/>
      </xdr:nvGraphicFramePr>
      <xdr:xfrm>
        <a:off x="0" y="6200140"/>
        <a:ext cx="23553420" cy="241935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35</xdr:col>
      <xdr:colOff>495360</xdr:colOff>
      <xdr:row>16</xdr:row>
      <xdr:rowOff>152280</xdr:rowOff>
    </xdr:from>
    <xdr:to>
      <xdr:col>60</xdr:col>
      <xdr:colOff>69490</xdr:colOff>
      <xdr:row>33</xdr:row>
      <xdr:rowOff>56520</xdr:rowOff>
    </xdr:to>
    <xdr:graphicFrame>
      <xdr:nvGraphicFramePr>
        <xdr:cNvPr id="4" name="Graphique 6"/>
        <xdr:cNvGraphicFramePr/>
      </xdr:nvGraphicFramePr>
      <xdr:xfrm>
        <a:off x="23735030" y="3199765"/>
        <a:ext cx="15005050" cy="314325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19</xdr:col>
      <xdr:colOff>439200</xdr:colOff>
      <xdr:row>1</xdr:row>
      <xdr:rowOff>22320</xdr:rowOff>
    </xdr:from>
    <xdr:to>
      <xdr:col>29</xdr:col>
      <xdr:colOff>195480</xdr:colOff>
      <xdr:row>8</xdr:row>
      <xdr:rowOff>155160</xdr:rowOff>
    </xdr:to>
    <xdr:graphicFrame>
      <xdr:nvGraphicFramePr>
        <xdr:cNvPr id="5" name="Graphique 8"/>
        <xdr:cNvGraphicFramePr/>
      </xdr:nvGraphicFramePr>
      <xdr:xfrm>
        <a:off x="14050010" y="212725"/>
        <a:ext cx="5556250" cy="1466215"/>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29</xdr:col>
      <xdr:colOff>357840</xdr:colOff>
      <xdr:row>1</xdr:row>
      <xdr:rowOff>0</xdr:rowOff>
    </xdr:from>
    <xdr:to>
      <xdr:col>35</xdr:col>
      <xdr:colOff>464400</xdr:colOff>
      <xdr:row>8</xdr:row>
      <xdr:rowOff>161640</xdr:rowOff>
    </xdr:to>
    <xdr:graphicFrame>
      <xdr:nvGraphicFramePr>
        <xdr:cNvPr id="6" name="Graphique 8"/>
        <xdr:cNvGraphicFramePr/>
      </xdr:nvGraphicFramePr>
      <xdr:xfrm>
        <a:off x="19768820" y="190500"/>
        <a:ext cx="3935095" cy="149479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66600</xdr:colOff>
      <xdr:row>17</xdr:row>
      <xdr:rowOff>85680</xdr:rowOff>
    </xdr:from>
    <xdr:to>
      <xdr:col>0</xdr:col>
      <xdr:colOff>4818600</xdr:colOff>
      <xdr:row>23</xdr:row>
      <xdr:rowOff>75600</xdr:rowOff>
    </xdr:to>
    <xdr:pic>
      <xdr:nvPicPr>
        <xdr:cNvPr id="5" name="Image 7"/>
        <xdr:cNvPicPr/>
      </xdr:nvPicPr>
      <xdr:blipFill>
        <a:blip r:embed="rId1"/>
        <a:stretch>
          <a:fillRect/>
        </a:stretch>
      </xdr:blipFill>
      <xdr:spPr>
        <a:xfrm>
          <a:off x="66040" y="5266690"/>
          <a:ext cx="4752340" cy="1133475"/>
        </a:xfrm>
        <a:prstGeom prst="rect">
          <a:avLst/>
        </a:prstGeom>
        <a:ln>
          <a:noFill/>
        </a:ln>
      </xdr:spPr>
    </xdr:pic>
    <xdr:clientData/>
  </xdr:twoCellAnchor>
  <xdr:twoCellAnchor editAs="oneCell">
    <xdr:from>
      <xdr:col>0</xdr:col>
      <xdr:colOff>85680</xdr:colOff>
      <xdr:row>36</xdr:row>
      <xdr:rowOff>66600</xdr:rowOff>
    </xdr:from>
    <xdr:to>
      <xdr:col>4</xdr:col>
      <xdr:colOff>217800</xdr:colOff>
      <xdr:row>38</xdr:row>
      <xdr:rowOff>218400</xdr:rowOff>
    </xdr:to>
    <xdr:pic>
      <xdr:nvPicPr>
        <xdr:cNvPr id="6" name="Image 4"/>
        <xdr:cNvPicPr/>
      </xdr:nvPicPr>
      <xdr:blipFill>
        <a:blip r:embed="rId2"/>
        <a:stretch>
          <a:fillRect/>
        </a:stretch>
      </xdr:blipFill>
      <xdr:spPr>
        <a:xfrm>
          <a:off x="85090" y="10124440"/>
          <a:ext cx="9424035" cy="761365"/>
        </a:xfrm>
        <a:prstGeom prst="rect">
          <a:avLst/>
        </a:prstGeom>
        <a:ln>
          <a:noFill/>
        </a:ln>
      </xdr:spPr>
    </xdr:pic>
    <xdr:clientData/>
  </xdr:twoCellAnchor>
  <xdr:twoCellAnchor editAs="oneCell">
    <xdr:from>
      <xdr:col>0</xdr:col>
      <xdr:colOff>76320</xdr:colOff>
      <xdr:row>48</xdr:row>
      <xdr:rowOff>142920</xdr:rowOff>
    </xdr:from>
    <xdr:to>
      <xdr:col>0</xdr:col>
      <xdr:colOff>2190240</xdr:colOff>
      <xdr:row>50</xdr:row>
      <xdr:rowOff>171000</xdr:rowOff>
    </xdr:to>
    <xdr:pic>
      <xdr:nvPicPr>
        <xdr:cNvPr id="7" name="Image 13"/>
        <xdr:cNvPicPr/>
      </xdr:nvPicPr>
      <xdr:blipFill>
        <a:blip r:embed="rId3"/>
        <a:stretch>
          <a:fillRect/>
        </a:stretch>
      </xdr:blipFill>
      <xdr:spPr>
        <a:xfrm>
          <a:off x="76200" y="14973300"/>
          <a:ext cx="2113915" cy="408940"/>
        </a:xfrm>
        <a:prstGeom prst="rect">
          <a:avLst/>
        </a:prstGeom>
        <a:ln>
          <a:noFill/>
        </a:ln>
      </xdr:spPr>
    </xdr:pic>
    <xdr:clientData/>
  </xdr:twoCellAnchor>
  <xdr:twoCellAnchor editAs="oneCell">
    <xdr:from>
      <xdr:col>0</xdr:col>
      <xdr:colOff>95400</xdr:colOff>
      <xdr:row>54</xdr:row>
      <xdr:rowOff>76320</xdr:rowOff>
    </xdr:from>
    <xdr:to>
      <xdr:col>0</xdr:col>
      <xdr:colOff>4304520</xdr:colOff>
      <xdr:row>59</xdr:row>
      <xdr:rowOff>56880</xdr:rowOff>
    </xdr:to>
    <xdr:pic>
      <xdr:nvPicPr>
        <xdr:cNvPr id="8" name="Image 10"/>
        <xdr:cNvPicPr/>
      </xdr:nvPicPr>
      <xdr:blipFill>
        <a:blip r:embed="rId4"/>
        <a:stretch>
          <a:fillRect/>
        </a:stretch>
      </xdr:blipFill>
      <xdr:spPr>
        <a:xfrm>
          <a:off x="95250" y="16544925"/>
          <a:ext cx="4208780" cy="932815"/>
        </a:xfrm>
        <a:prstGeom prst="rect">
          <a:avLst/>
        </a:prstGeom>
        <a:ln>
          <a:noFill/>
        </a:ln>
      </xdr:spPr>
    </xdr:pic>
    <xdr:clientData/>
  </xdr:twoCellAnchor>
  <xdr:twoCellAnchor editAs="oneCell">
    <xdr:from>
      <xdr:col>0</xdr:col>
      <xdr:colOff>76320</xdr:colOff>
      <xdr:row>71</xdr:row>
      <xdr:rowOff>57240</xdr:rowOff>
    </xdr:from>
    <xdr:to>
      <xdr:col>0</xdr:col>
      <xdr:colOff>3799800</xdr:colOff>
      <xdr:row>73</xdr:row>
      <xdr:rowOff>114120</xdr:rowOff>
    </xdr:to>
    <xdr:pic>
      <xdr:nvPicPr>
        <xdr:cNvPr id="9" name="Image 19"/>
        <xdr:cNvPicPr/>
      </xdr:nvPicPr>
      <xdr:blipFill>
        <a:blip r:embed="rId5"/>
        <a:stretch>
          <a:fillRect/>
        </a:stretch>
      </xdr:blipFill>
      <xdr:spPr>
        <a:xfrm>
          <a:off x="76200" y="21593175"/>
          <a:ext cx="3723005" cy="437515"/>
        </a:xfrm>
        <a:prstGeom prst="rect">
          <a:avLst/>
        </a:prstGeom>
        <a:ln>
          <a:noFill/>
        </a:ln>
      </xdr:spPr>
    </xdr:pic>
    <xdr:clientData/>
  </xdr:twoCellAnchor>
  <xdr:twoCellAnchor editAs="oneCell">
    <xdr:from>
      <xdr:col>0</xdr:col>
      <xdr:colOff>104760</xdr:colOff>
      <xdr:row>81</xdr:row>
      <xdr:rowOff>57240</xdr:rowOff>
    </xdr:from>
    <xdr:to>
      <xdr:col>0</xdr:col>
      <xdr:colOff>1209240</xdr:colOff>
      <xdr:row>85</xdr:row>
      <xdr:rowOff>85320</xdr:rowOff>
    </xdr:to>
    <xdr:pic>
      <xdr:nvPicPr>
        <xdr:cNvPr id="10" name="Image 16"/>
        <xdr:cNvPicPr/>
      </xdr:nvPicPr>
      <xdr:blipFill>
        <a:blip r:embed="rId6"/>
        <a:stretch>
          <a:fillRect/>
        </a:stretch>
      </xdr:blipFill>
      <xdr:spPr>
        <a:xfrm>
          <a:off x="104140" y="23612475"/>
          <a:ext cx="1104900" cy="789940"/>
        </a:xfrm>
        <a:prstGeom prst="rect">
          <a:avLst/>
        </a:prstGeom>
        <a:ln>
          <a:noFill/>
        </a:ln>
      </xdr:spPr>
    </xdr:pic>
    <xdr:clientData/>
  </xdr:twoCellAnchor>
  <xdr:twoCellAnchor editAs="oneCell">
    <xdr:from>
      <xdr:col>0</xdr:col>
      <xdr:colOff>95400</xdr:colOff>
      <xdr:row>92</xdr:row>
      <xdr:rowOff>76320</xdr:rowOff>
    </xdr:from>
    <xdr:to>
      <xdr:col>0</xdr:col>
      <xdr:colOff>2275920</xdr:colOff>
      <xdr:row>94</xdr:row>
      <xdr:rowOff>95040</xdr:rowOff>
    </xdr:to>
    <xdr:pic>
      <xdr:nvPicPr>
        <xdr:cNvPr id="11" name="Image 1"/>
        <xdr:cNvPicPr/>
      </xdr:nvPicPr>
      <xdr:blipFill>
        <a:blip r:embed="rId7"/>
        <a:stretch>
          <a:fillRect/>
        </a:stretch>
      </xdr:blipFill>
      <xdr:spPr>
        <a:xfrm>
          <a:off x="95250" y="26984325"/>
          <a:ext cx="2180590" cy="399415"/>
        </a:xfrm>
        <a:prstGeom prst="rect">
          <a:avLst/>
        </a:prstGeom>
        <a:ln>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MJ285"/>
  <sheetViews>
    <sheetView tabSelected="1" workbookViewId="0">
      <pane xSplit="1" ySplit="14" topLeftCell="B15" activePane="bottomRight" state="frozen"/>
      <selection/>
      <selection pane="topRight"/>
      <selection pane="bottomLeft"/>
      <selection pane="bottomRight" activeCell="AN35" sqref="AN35"/>
    </sheetView>
  </sheetViews>
  <sheetFormatPr defaultColWidth="9" defaultRowHeight="15"/>
  <cols>
    <col min="1" max="1" width="15.637037037037" style="10"/>
    <col min="2" max="18" width="8.02962962962963" style="10"/>
    <col min="19" max="28" width="6.63703703703704" style="10"/>
    <col min="29" max="32" width="7.92592592592593" style="10"/>
    <col min="33" max="34" width="6.63703703703704" style="10"/>
    <col min="35" max="36" width="7.60740740740741" style="10"/>
    <col min="37" max="42" width="6.63703703703704" style="10"/>
    <col min="43" max="46" width="7.4962962962963" style="10"/>
    <col min="47" max="58" width="6.85185185185185" style="10"/>
    <col min="59" max="59" width="7.92592592592593" style="10"/>
    <col min="60" max="60" width="12.4444444444444" style="10"/>
    <col min="61" max="1025" width="7.92592592592593" style="10"/>
  </cols>
  <sheetData>
    <row r="1" customHeight="1" spans="1:1024">
      <c r="A1" s="11" t="s">
        <v>0</v>
      </c>
      <c r="B1" s="12"/>
      <c r="C1" s="12"/>
      <c r="D1" s="13" t="s">
        <v>1</v>
      </c>
      <c r="E1" s="37"/>
      <c r="F1" s="37"/>
      <c r="G1" s="37"/>
      <c r="H1" s="40" t="s">
        <v>2</v>
      </c>
      <c r="I1" s="56"/>
      <c r="J1" s="56"/>
      <c r="K1" s="56"/>
      <c r="L1" s="56"/>
      <c r="M1" s="71" t="s">
        <v>3</v>
      </c>
      <c r="N1" s="72"/>
      <c r="O1" s="72"/>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10" customFormat="1" customHeight="1" spans="1:15">
      <c r="A2" s="14" t="s">
        <v>4</v>
      </c>
      <c r="D2" s="15" t="s">
        <v>5</v>
      </c>
      <c r="E2" s="41" t="s">
        <v>6</v>
      </c>
      <c r="F2" s="42" t="s">
        <v>7</v>
      </c>
      <c r="H2" s="43"/>
      <c r="M2" s="71"/>
      <c r="N2" s="72"/>
      <c r="O2" s="72"/>
    </row>
    <row r="3" customHeight="1" spans="1:1024">
      <c r="A3" s="16"/>
      <c r="B3"/>
      <c r="C3"/>
      <c r="D3" s="17">
        <v>0.15</v>
      </c>
      <c r="E3" s="37">
        <v>0.9</v>
      </c>
      <c r="F3" s="44">
        <f ca="1">MAX(INDEX(D:D,Lig_min,1):INDEX(D:D,Lig_max,1))</f>
        <v>0.935</v>
      </c>
      <c r="G3"/>
      <c r="H3"/>
      <c r="I3"/>
      <c r="J3"/>
      <c r="K3"/>
      <c r="L3" s="57" t="s">
        <v>8</v>
      </c>
      <c r="M3" s="64"/>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customHeight="1" spans="1:1024">
      <c r="A4" s="18" t="s">
        <v>9</v>
      </c>
      <c r="B4" s="19" t="s">
        <v>10</v>
      </c>
      <c r="C4" s="19" t="s">
        <v>11</v>
      </c>
      <c r="D4" s="19" t="s">
        <v>12</v>
      </c>
      <c r="E4" s="15" t="s">
        <v>13</v>
      </c>
      <c r="F4" s="15" t="s">
        <v>14</v>
      </c>
      <c r="G4" s="45" t="s">
        <v>15</v>
      </c>
      <c r="H4" s="46" t="s">
        <v>16</v>
      </c>
      <c r="I4" s="58" t="s">
        <v>17</v>
      </c>
      <c r="J4" s="59">
        <v>15</v>
      </c>
      <c r="K4"/>
      <c r="L4" s="60" t="s">
        <v>18</v>
      </c>
      <c r="M4" s="60" t="s">
        <v>19</v>
      </c>
      <c r="N4" s="73" t="s">
        <v>20</v>
      </c>
      <c r="O4" s="74" t="s">
        <v>21</v>
      </c>
      <c r="P4" s="75" t="s">
        <v>22</v>
      </c>
      <c r="Q4" s="86" t="s">
        <v>23</v>
      </c>
      <c r="R4" s="86" t="s">
        <v>24</v>
      </c>
      <c r="S4" s="87" t="s">
        <v>25</v>
      </c>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customHeight="1" spans="1:1024">
      <c r="A5" s="20"/>
      <c r="B5" s="21">
        <f>(fcmax-0)/(NDVIvegmax-NDVIsolnu)</f>
        <v>1.33333333333333</v>
      </c>
      <c r="C5" s="22">
        <f>-a_fc*D3</f>
        <v>-0.2</v>
      </c>
      <c r="D5" s="23">
        <v>1</v>
      </c>
      <c r="E5" s="34">
        <v>70</v>
      </c>
      <c r="F5" s="34">
        <v>0.15</v>
      </c>
      <c r="G5" s="34">
        <v>1</v>
      </c>
      <c r="H5" s="47">
        <f ca="1">MAX(INDEX(G:G,Lig_min,1):INDEX(G:G,Lig_max,1))</f>
        <v>1</v>
      </c>
      <c r="I5" s="61" t="s">
        <v>26</v>
      </c>
      <c r="J5" s="62">
        <v>283</v>
      </c>
      <c r="K5"/>
      <c r="L5" s="37">
        <v>50</v>
      </c>
      <c r="M5" s="37">
        <v>0.1</v>
      </c>
      <c r="N5" s="37">
        <v>0.85</v>
      </c>
      <c r="O5" s="76">
        <f ca="1">MATCH(MAX(INDEX(H:H,Lig_min,1):INDEX(H:H,Lig_max,1)),INDEX(H:H,Lig_min,1):INDEX(H:H,Lig_max,1),0)+Lig_min-1</f>
        <v>193</v>
      </c>
      <c r="P5" s="77">
        <f ca="1">E13</f>
        <v>0</v>
      </c>
      <c r="Q5" s="88">
        <f ca="1">X13</f>
        <v>202.211015203445</v>
      </c>
      <c r="R5" s="89">
        <f ca="1">COUNTIF(INDEX(E:E,Lig_min,1):INDEX(E:E,Lig_max,1),"&gt;0")</f>
        <v>0</v>
      </c>
      <c r="S5" s="90">
        <f ca="1">COUNTIF(INDEX(X:X,Lig_min,1):INDEX(X:X,Lig_max,1),"&gt;0")</f>
        <v>5</v>
      </c>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customHeight="1" spans="1:1024">
      <c r="A6" s="18" t="s">
        <v>27</v>
      </c>
      <c r="B6" s="19" t="s">
        <v>28</v>
      </c>
      <c r="C6" s="19" t="s">
        <v>29</v>
      </c>
      <c r="D6" s="19" t="s">
        <v>30</v>
      </c>
      <c r="E6" s="19" t="s">
        <v>31</v>
      </c>
      <c r="F6" s="46" t="s">
        <v>32</v>
      </c>
      <c r="G6" s="48" t="s">
        <v>33</v>
      </c>
      <c r="H6"/>
      <c r="I6" s="61" t="s">
        <v>34</v>
      </c>
      <c r="J6" s="63">
        <f ca="1">AVERAGE(INDEX(F:F,Lig_min,1):INDEX(F:F,Lig_max,1))</f>
        <v>1.60887257260274</v>
      </c>
      <c r="K6"/>
      <c r="L6" s="64" t="s">
        <v>35</v>
      </c>
      <c r="M6" s="64" t="s">
        <v>36</v>
      </c>
      <c r="N6" s="78" t="s">
        <v>37</v>
      </c>
      <c r="O6" s="73" t="s">
        <v>38</v>
      </c>
      <c r="P6" s="79" t="s">
        <v>39</v>
      </c>
      <c r="Q6" s="91">
        <f ca="1">Q5-P5</f>
        <v>202.211015203445</v>
      </c>
      <c r="R6" s="92"/>
      <c r="S6" s="93"/>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customHeight="1" spans="1:1024">
      <c r="A7" s="24"/>
      <c r="B7" s="25">
        <f>(Kcbmid-0)/(NDVIvegmax-NDVIsolnu)</f>
        <v>1.50305934941789</v>
      </c>
      <c r="C7" s="26">
        <f>-a_kcb*D3</f>
        <v>-0.225458902412684</v>
      </c>
      <c r="D7" s="23">
        <v>1.12729451206342</v>
      </c>
      <c r="E7" s="17">
        <v>1.15</v>
      </c>
      <c r="F7" s="49">
        <f ca="1">MAX(INDEX(H:H,Lig_min,1):INDEX(H:H,Lig_max,1))</f>
        <v>1.15</v>
      </c>
      <c r="G7"/>
      <c r="H7"/>
      <c r="I7" s="65" t="s">
        <v>40</v>
      </c>
      <c r="J7" s="66">
        <f ca="1">100*(1-SUM(INDEX($BH:$BH,Lig_min,1):INDEX($BH:$BH,Lig_max,1))/SUM(INDEX($BI:$BI,Lig_min,1):INDEX($BI:$BI,Lig_max,1)))</f>
        <v>90.3539088974519</v>
      </c>
      <c r="K7"/>
      <c r="L7" s="37">
        <v>1</v>
      </c>
      <c r="M7" s="37">
        <v>0</v>
      </c>
      <c r="N7" s="37">
        <v>1</v>
      </c>
      <c r="O7" s="23">
        <v>-1</v>
      </c>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customHeight="1" spans="1:1024">
      <c r="A8" s="27"/>
      <c r="B8"/>
      <c r="C8"/>
      <c r="D8"/>
      <c r="E8"/>
      <c r="F8"/>
      <c r="G8" s="50" t="s">
        <v>41</v>
      </c>
      <c r="H8" s="10" t="s">
        <v>33</v>
      </c>
      <c r="I8"/>
      <c r="J8"/>
      <c r="K8"/>
      <c r="L8"/>
      <c r="M8"/>
      <c r="N8"/>
      <c r="O8"/>
      <c r="P8" s="80" t="s">
        <v>42</v>
      </c>
      <c r="Q8" s="94">
        <f ca="1">R15-V15+S15-W15</f>
        <v>48.6802518994096</v>
      </c>
      <c r="R8" s="95" t="s">
        <v>43</v>
      </c>
      <c r="S8" s="96"/>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customHeight="1" spans="1:1024">
      <c r="A9" s="27"/>
      <c r="B9" s="28">
        <v>1.25</v>
      </c>
      <c r="C9" s="29">
        <v>-2.271316660654</v>
      </c>
      <c r="D9" s="30"/>
      <c r="E9" s="29">
        <v>0.59555606968994</v>
      </c>
      <c r="F9" s="30"/>
      <c r="G9" s="51">
        <v>0.613874551064434</v>
      </c>
      <c r="H9" s="30"/>
      <c r="I9" s="67"/>
      <c r="J9" s="68">
        <v>1e-7</v>
      </c>
      <c r="K9" s="68">
        <f>J9</f>
        <v>1e-7</v>
      </c>
      <c r="L9" s="30"/>
      <c r="M9" s="81"/>
      <c r="N9" s="10" t="s">
        <v>33</v>
      </c>
      <c r="O9"/>
      <c r="P9" s="82" t="s">
        <v>44</v>
      </c>
      <c r="Q9" s="97">
        <f ca="1">INDEX(R:R,Lig_max,1)-INDEX(AI:AI,Lig_max,1)+INDEX(S:S,Lig_max,1)-INDEX(AJ:AJ,Lig_max,1)</f>
        <v>60.2972227700859</v>
      </c>
      <c r="R9" s="97">
        <f ca="1">Q8+C13+IF(Irri_man=1,E13,0)+IF(Irri_auto=1,X13,0)-I13-AC13</f>
        <v>60.2972227700857</v>
      </c>
      <c r="S9" s="93"/>
      <c r="T9"/>
      <c r="U9"/>
      <c r="V9"/>
      <c r="W9"/>
      <c r="X9"/>
      <c r="Y9"/>
      <c r="AA9" s="67"/>
      <c r="AB9" s="67"/>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c r="A10" s="27" t="s">
        <v>45</v>
      </c>
      <c r="B10" s="31" t="s">
        <v>46</v>
      </c>
      <c r="C10" s="31" t="s">
        <v>47</v>
      </c>
      <c r="D10" s="31" t="s">
        <v>48</v>
      </c>
      <c r="E10" s="31" t="s">
        <v>49</v>
      </c>
      <c r="F10" s="31" t="s">
        <v>50</v>
      </c>
      <c r="G10" s="31" t="s">
        <v>51</v>
      </c>
      <c r="H10" s="31" t="s">
        <v>52</v>
      </c>
      <c r="I10" s="31" t="s">
        <v>53</v>
      </c>
      <c r="J10" s="31" t="s">
        <v>54</v>
      </c>
      <c r="K10" s="31" t="s">
        <v>55</v>
      </c>
      <c r="L10" s="31" t="s">
        <v>56</v>
      </c>
      <c r="M10" s="83" t="s">
        <v>57</v>
      </c>
      <c r="N10" s="10" t="s">
        <v>33</v>
      </c>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c r="A11" s="27"/>
      <c r="B11" s="32">
        <f>B9*100</f>
        <v>125</v>
      </c>
      <c r="C11" s="33">
        <f>C9*100</f>
        <v>-227.1316660654</v>
      </c>
      <c r="D11" s="34">
        <f>Ze</f>
        <v>125</v>
      </c>
      <c r="E11" s="33">
        <f>E9*1000</f>
        <v>595.55606968994</v>
      </c>
      <c r="F11" s="52">
        <v>0.55</v>
      </c>
      <c r="G11" s="33">
        <f>G9*1000</f>
        <v>613.874551064434</v>
      </c>
      <c r="H11" s="34">
        <v>0.4</v>
      </c>
      <c r="I11" s="34">
        <v>0.27</v>
      </c>
      <c r="J11" s="32">
        <f>J9*10</f>
        <v>1e-6</v>
      </c>
      <c r="K11" s="32">
        <f>K9*10</f>
        <v>1e-6</v>
      </c>
      <c r="L11" s="34">
        <v>0.61</v>
      </c>
      <c r="M11" s="84">
        <v>0</v>
      </c>
      <c r="N11"/>
      <c r="O11"/>
      <c r="P11"/>
      <c r="Q11"/>
      <c r="R11"/>
      <c r="S11"/>
      <c r="T11"/>
      <c r="U11"/>
      <c r="V11"/>
      <c r="W11"/>
      <c r="X11"/>
      <c r="Y11"/>
      <c r="Z11"/>
      <c r="AA11"/>
      <c r="AB11"/>
      <c r="AC11"/>
      <c r="AD11"/>
      <c r="AE11"/>
      <c r="AF11"/>
      <c r="AG11"/>
      <c r="AH11"/>
      <c r="AI11"/>
      <c r="AJ11"/>
      <c r="AK11"/>
      <c r="AL11"/>
      <c r="AM11"/>
      <c r="AN11"/>
      <c r="AO11"/>
      <c r="AP11"/>
      <c r="AQ11" s="69" t="s">
        <v>58</v>
      </c>
      <c r="AR11" s="53"/>
      <c r="AS11" s="53"/>
      <c r="AT11" s="53"/>
      <c r="AU11" s="114" t="s">
        <v>59</v>
      </c>
      <c r="AV11" s="115"/>
      <c r="AW11" s="115"/>
      <c r="AX11" s="115"/>
      <c r="AY11" s="115"/>
      <c r="AZ11" s="115"/>
      <c r="BA11" s="115"/>
      <c r="BB11" s="115"/>
      <c r="BC11" s="119" t="s">
        <v>60</v>
      </c>
      <c r="BD11" s="19"/>
      <c r="BE11" s="15"/>
      <c r="BF11" s="123"/>
      <c r="BG11"/>
      <c r="BH11" s="40" t="s">
        <v>40</v>
      </c>
      <c r="BI11" s="40"/>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10" customFormat="1" spans="3:61">
      <c r="C12" s="35"/>
      <c r="E12" s="35"/>
      <c r="I12" s="35"/>
      <c r="J12" s="43"/>
      <c r="R12" s="31" t="s">
        <v>61</v>
      </c>
      <c r="T12" s="98"/>
      <c r="U12" s="103"/>
      <c r="V12" s="103"/>
      <c r="W12" s="103"/>
      <c r="X12" s="103"/>
      <c r="Y12" s="103"/>
      <c r="Z12" s="103"/>
      <c r="AA12" s="103" t="s">
        <v>62</v>
      </c>
      <c r="AB12" s="30"/>
      <c r="AC12" s="30"/>
      <c r="AD12" s="30"/>
      <c r="AE12" s="30"/>
      <c r="AF12" s="30"/>
      <c r="AG12" s="104"/>
      <c r="AH12" s="104"/>
      <c r="AI12" s="104"/>
      <c r="AJ12" s="105"/>
      <c r="AQ12" s="43"/>
      <c r="AU12" s="116"/>
      <c r="AV12" s="67"/>
      <c r="AW12" s="67"/>
      <c r="AX12" s="67"/>
      <c r="AY12" s="67"/>
      <c r="AZ12" s="67"/>
      <c r="BA12" s="67"/>
      <c r="BB12" s="67"/>
      <c r="BC12" s="116"/>
      <c r="BD12" s="67"/>
      <c r="BE12" s="124"/>
      <c r="BF12" s="113"/>
      <c r="BH12" s="43"/>
      <c r="BI12" s="43"/>
    </row>
    <row r="13" spans="3:1024">
      <c r="C13" s="36">
        <f ca="1">SUM(INDEX(C:C,Lig_min,1):INDEX(C:C,Lig_max,1))</f>
        <v>531.432</v>
      </c>
      <c r="D13"/>
      <c r="E13" s="36">
        <f ca="1">SUM(INDEX(E:E,Lig_min,1):INDEX(E:E,Lig_max,1))</f>
        <v>0</v>
      </c>
      <c r="F13"/>
      <c r="G13"/>
      <c r="I13" s="36">
        <f ca="1">SUM(INDEX(I:I,Lig_min,1):INDEX(I:I,Lig_max,1))</f>
        <v>379.433666637274</v>
      </c>
      <c r="J13" s="69" t="s">
        <v>58</v>
      </c>
      <c r="K13" s="53"/>
      <c r="L13" s="53"/>
      <c r="M13" s="53"/>
      <c r="N13" s="53"/>
      <c r="O13" s="53"/>
      <c r="P13"/>
      <c r="Q13"/>
      <c r="R13" s="99">
        <f>(Wfc-Wwp/2)*Ze</f>
        <v>33.125</v>
      </c>
      <c r="S13"/>
      <c r="T13" s="100" t="s">
        <v>63</v>
      </c>
      <c r="U13" s="104"/>
      <c r="V13" s="104"/>
      <c r="W13" s="105"/>
      <c r="X13" s="106">
        <f ca="1">SUM(INDEX(X:X,Lig_min,1):INDEX(X:X,Lig_max,1))</f>
        <v>202.211015203445</v>
      </c>
      <c r="Y13" s="98" t="s">
        <v>64</v>
      </c>
      <c r="Z13" s="30"/>
      <c r="AA13" s="30"/>
      <c r="AB13" s="30"/>
      <c r="AC13" s="109">
        <f ca="1">SUM(INDEX(AC:AC,Lig_min,1):INDEX(AC:AC,Lig_max,1))</f>
        <v>140.38136249205</v>
      </c>
      <c r="AD13" s="110"/>
      <c r="AE13" s="110"/>
      <c r="AF13" s="81"/>
      <c r="AG13" s="111" t="s">
        <v>65</v>
      </c>
      <c r="AH13" s="112"/>
      <c r="AI13" s="48"/>
      <c r="AJ13" s="113"/>
      <c r="AK13"/>
      <c r="AL13"/>
      <c r="AM13"/>
      <c r="AN13"/>
      <c r="AO13"/>
      <c r="AP13"/>
      <c r="AQ13" s="43"/>
      <c r="AR13"/>
      <c r="AS13"/>
      <c r="AT13"/>
      <c r="AU13" s="116"/>
      <c r="AV13" s="67"/>
      <c r="AW13" s="67"/>
      <c r="AX13" s="67"/>
      <c r="AY13" s="67"/>
      <c r="AZ13" s="67"/>
      <c r="BA13" s="67"/>
      <c r="BB13" s="67"/>
      <c r="BC13" s="116"/>
      <c r="BD13" s="67"/>
      <c r="BE13" s="124"/>
      <c r="BF13" s="113"/>
      <c r="BG13"/>
      <c r="BH13" s="40" t="s">
        <v>66</v>
      </c>
      <c r="BI13" s="40" t="s">
        <v>67</v>
      </c>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c r="A14" s="37" t="s">
        <v>68</v>
      </c>
      <c r="B14" s="37" t="s">
        <v>69</v>
      </c>
      <c r="C14" s="37" t="s">
        <v>70</v>
      </c>
      <c r="D14" s="37" t="s">
        <v>71</v>
      </c>
      <c r="E14" s="37" t="s">
        <v>72</v>
      </c>
      <c r="F14" s="53" t="s">
        <v>73</v>
      </c>
      <c r="G14" s="54" t="s">
        <v>74</v>
      </c>
      <c r="H14" s="54" t="s">
        <v>75</v>
      </c>
      <c r="I14" s="54" t="s">
        <v>76</v>
      </c>
      <c r="J14" s="69"/>
      <c r="K14" s="69"/>
      <c r="L14" s="69"/>
      <c r="M14" s="69"/>
      <c r="N14" s="69"/>
      <c r="O14" s="69"/>
      <c r="P14" s="85" t="s">
        <v>77</v>
      </c>
      <c r="Q14" s="85" t="s">
        <v>78</v>
      </c>
      <c r="R14" s="85" t="s">
        <v>79</v>
      </c>
      <c r="S14" s="85" t="s">
        <v>80</v>
      </c>
      <c r="T14" s="101" t="s">
        <v>81</v>
      </c>
      <c r="U14" s="107" t="s">
        <v>82</v>
      </c>
      <c r="V14" s="107" t="s">
        <v>83</v>
      </c>
      <c r="W14" s="108" t="s">
        <v>84</v>
      </c>
      <c r="X14" s="107" t="s">
        <v>85</v>
      </c>
      <c r="Y14" s="101" t="s">
        <v>86</v>
      </c>
      <c r="Z14" s="107" t="s">
        <v>87</v>
      </c>
      <c r="AA14" s="107" t="s">
        <v>88</v>
      </c>
      <c r="AB14" s="107" t="s">
        <v>89</v>
      </c>
      <c r="AC14" s="108" t="s">
        <v>90</v>
      </c>
      <c r="AD14" s="107" t="s">
        <v>91</v>
      </c>
      <c r="AE14" s="107" t="s">
        <v>92</v>
      </c>
      <c r="AF14" s="108" t="s">
        <v>93</v>
      </c>
      <c r="AG14" s="101" t="s">
        <v>94</v>
      </c>
      <c r="AH14" s="107" t="s">
        <v>95</v>
      </c>
      <c r="AI14" s="107" t="s">
        <v>96</v>
      </c>
      <c r="AJ14" s="108" t="s">
        <v>97</v>
      </c>
      <c r="AK14" s="85" t="s">
        <v>98</v>
      </c>
      <c r="AL14" s="85" t="s">
        <v>99</v>
      </c>
      <c r="AM14" s="85" t="s">
        <v>100</v>
      </c>
      <c r="AN14" s="85" t="s">
        <v>101</v>
      </c>
      <c r="AO14" s="85" t="s">
        <v>102</v>
      </c>
      <c r="AP14" s="85" t="s">
        <v>103</v>
      </c>
      <c r="AQ14" s="53" t="s">
        <v>104</v>
      </c>
      <c r="AR14" s="53" t="s">
        <v>105</v>
      </c>
      <c r="AS14" s="53" t="s">
        <v>106</v>
      </c>
      <c r="AT14" s="53" t="s">
        <v>107</v>
      </c>
      <c r="AU14" s="117" t="s">
        <v>108</v>
      </c>
      <c r="AV14" s="118" t="s">
        <v>109</v>
      </c>
      <c r="AW14" s="118" t="s">
        <v>110</v>
      </c>
      <c r="AX14" s="118" t="s">
        <v>111</v>
      </c>
      <c r="AY14" s="118" t="s">
        <v>112</v>
      </c>
      <c r="AZ14" s="118" t="s">
        <v>113</v>
      </c>
      <c r="BA14" s="118" t="s">
        <v>114</v>
      </c>
      <c r="BB14" s="120" t="s">
        <v>115</v>
      </c>
      <c r="BC14" s="20" t="s">
        <v>116</v>
      </c>
      <c r="BD14" s="121" t="s">
        <v>117</v>
      </c>
      <c r="BE14" s="125" t="s">
        <v>118</v>
      </c>
      <c r="BF14" s="126" t="s">
        <v>119</v>
      </c>
      <c r="BG14"/>
      <c r="BH14" s="40" t="s">
        <v>66</v>
      </c>
      <c r="BI14" s="40" t="s">
        <v>67</v>
      </c>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c r="A15" s="38">
        <v>39008</v>
      </c>
      <c r="B15" s="10">
        <v>1.516</v>
      </c>
      <c r="C15" s="39">
        <v>0</v>
      </c>
      <c r="D15">
        <v>0.245</v>
      </c>
      <c r="E15" s="39">
        <v>0</v>
      </c>
      <c r="F15"/>
      <c r="G15" s="39">
        <f ca="1">MIN(MAX(IF(AND(Durpla&gt;ROW()-MATCH(NDVImax,INDEX(D:D,Lig_min,1):INDEX(D:D,Lig_max,1),0)-Lig_min+1,ROW()-MATCH(NDVImax,INDEX(D:D,Lig_min,1):INDEX(D:D,Lig_max,1),0)-Lig_min+1&gt;0,D15*a_fc+b_fc&gt;fc_fin),NDVImax*a_fc+b_fc,D15*a_fc+b_fc),0),1)</f>
        <v>0.126666666666667</v>
      </c>
      <c r="H15" s="55">
        <f>MIN(MAX(D15*a_kcb+b_kcb,0),Kcmax)</f>
        <v>0.1427906381947</v>
      </c>
      <c r="I15" s="70">
        <f ca="1" t="shared" ref="I15:I78" si="0">MIN(BB15+BD15,R15-AA15)</f>
        <v>0.373633233613309</v>
      </c>
      <c r="J15"/>
      <c r="K15"/>
      <c r="L15"/>
      <c r="M15"/>
      <c r="N15"/>
      <c r="O15"/>
      <c r="P15" s="35">
        <f ca="1">IF(ROW()-MATCH(NDVImax,INDEX(D:D,Lig_min,1):INDEX(D:D,Lig_max,1),0)-Lig_min+1&gt;0,MAX(MIN(Zr_min+MAX(INDEX(G:G,Lig_min,1):INDEX(G:G,Lig_max,1))/MAX(MAX(INDEX(G:G,Lig_min,1):INDEX(G:G,Lig_max,1)),Max_fc_pour_Zrmax)*(Zr_max-Zr_min),Zr_max),Ze+0.001),MAX(MIN(Zr_min+G15/MAX(MAX(INDEX(G:G,Lig_min,1):INDEX(G:G,Lig_max,1)),Max_fc_pour_Zrmax)*(Zr_max-Zr_min),Zr_max),Ze+0.001))</f>
        <v>184.603768827392</v>
      </c>
      <c r="Q15" s="35">
        <f ca="1">IF(Z_sol&gt;0,Z_sol-P15,0.1)</f>
        <v>429.270782237042</v>
      </c>
      <c r="R15" s="35">
        <f ca="1">(Wfc-Wwp)*P15</f>
        <v>23.998489947561</v>
      </c>
      <c r="S15" s="35">
        <f ca="1">(Wfc-Wwp)*Q15</f>
        <v>55.8052016908154</v>
      </c>
      <c r="T15" s="102">
        <f>($H$11-$I$11)*$B$11*(1-Init_RU)</f>
        <v>6.3375</v>
      </c>
      <c r="U15" s="102">
        <f>($H$11-$I$11)*$B$11*(1-Init_RU)</f>
        <v>6.3375</v>
      </c>
      <c r="V15" s="102">
        <f ca="1">R15*(1-Init_RU)</f>
        <v>9.3594110795488</v>
      </c>
      <c r="W15" s="102">
        <f ca="1">S15*(1-Init_RU)</f>
        <v>21.764028659418</v>
      </c>
      <c r="X15" s="102">
        <f ca="1">IF(AND(V15&gt;R15*p,H15&gt;Kcbmin_start_irrig),MIN(MAX(V15-E15*Irri_man-C15,0),Lame_max),0)</f>
        <v>0</v>
      </c>
      <c r="Y15" s="99">
        <f ca="1">MIN(MAX(T15-C15-IF(fw&gt;0,X15/fw*Irri_auto+E15/fw*Irri_man,0),0),TEW)</f>
        <v>6.3375</v>
      </c>
      <c r="Z15" s="99">
        <f>MIN(MAX(U15-C15,0),TEW)</f>
        <v>6.3375</v>
      </c>
      <c r="AA15" s="99">
        <f ca="1">MIN(MAX(V15-C15-(X15*Irri_auto+E15*Irri_man),0),R15)</f>
        <v>9.3594110795488</v>
      </c>
      <c r="AB15" s="99">
        <f ca="1">MIN(MAX(W15+MIN(V15-C15-(X15*Irri_auto+E15*Irri_man),0),0),S15)</f>
        <v>21.764028659418</v>
      </c>
      <c r="AC15" s="99">
        <f ca="1">-MIN(W15+MIN(V15-C15-(X15*Irri_auto+E15*Irri_man),0),0)</f>
        <v>0</v>
      </c>
      <c r="AD15" s="39">
        <f ca="1">IF(((R15-AA15)/P15-((Wfc-Wwp)*Ze-Y15)/Ze)/Wfc*DiffE&lt;0,MAX(((R15-AA15)/P15-((Wfc-Wwp)*Ze-Y15)/Ze)/Wfc*DiffE,(R15*Ze-((Wfc-Wwp)*Ze-Y15-AA15)*P15)/(P15+Ze)-AA15),MIN(((R15-AA15)/P15-((Wfc-Wwp)*Ze-Y15)/Ze)/Wfc*DiffE,(R15*Ze-((Wfc-Wwp)*Ze-Y15-AA15)*P15)/(P15+Ze)-AA15))</f>
        <v>0</v>
      </c>
      <c r="AE15" s="39">
        <f ca="1">IF(((R15-AA15)/P15-((Wfc-Wwp)*Ze-Z15)/Ze)/Wfc*DiffE&lt;0,MAX(((R15-AA15)/P15-((Wfc-Wwp)*Ze-Z15)/Ze)/Wfc*DiffE,(R15*Ze-((Wfc-Wwp)*Ze-Z15-AA15)*P15)/(P15+Ze)-AA15),MIN(((R15-AA15)/P15-((Wfc-Wwp)*Ze-Z15)/Ze)/Wfc*DiffE,(R15*Ze-((Wfc-Wwp)*Ze-Z15-AA15)*P15)/(P15+Ze)-AA15))</f>
        <v>0</v>
      </c>
      <c r="AF15" s="39">
        <f ca="1">IF(((S15-AB15)/Q15-(R15-AA15)/P15)/Wfc*DiffR&lt;0,MAX(((S15-AB15)/Q15-(R15-AA15)/P15)/Wfc*DiffR,(S15*P15-(R15-AA15-AB15)*Q15)/(P15+Q15)-AB15),MIN(((S15-AB15)/Q15-(R15-AA15)/P15)/Wfc*DiffR,(S15*P15-(R15-AA15-AB15)*Q15)/(P15+Q15)-AB15))</f>
        <v>0</v>
      </c>
      <c r="AG15" s="99">
        <f ca="1">MIN(MAX(Y15+IF(AU15&gt;0,B15*AZ15/AU15,0)+BE15-AD15,0),TEW)</f>
        <v>6.7339278129728</v>
      </c>
      <c r="AH15" s="99">
        <f ca="1">MIN(MAX(Z15+IF(AV15&gt;0,B15*BA15/AV15,0)+BF15-AE15,0),TEW)</f>
        <v>6.55397060750317</v>
      </c>
      <c r="AI15" s="99">
        <f ca="1" t="shared" ref="AI15:AI78" si="1">MIN(MAX(AA15+I15-AF15,0),R15)</f>
        <v>9.7330443131621</v>
      </c>
      <c r="AJ15" s="99">
        <f ca="1" t="shared" ref="AJ15:AJ78" si="2">MIN(MAX(AB15+AF15,0),S15)</f>
        <v>21.764028659418</v>
      </c>
      <c r="AK15" s="70">
        <f ca="1">IF((AU15+AV15)&gt;0,(TEW-(AG15*AU15+AH15*AV15)/(AU15+AV15))/TEW,(TEW-(AG15+AH15)/2)/TEW)</f>
        <v>0.796711613193274</v>
      </c>
      <c r="AL15" s="70">
        <f ca="1" t="shared" ref="AL15:AL78" si="3">(R15-AI15)/R15</f>
        <v>0.594430969013895</v>
      </c>
      <c r="AM15" s="70">
        <f ca="1" t="shared" ref="AM15:AM78" si="4">(S15-AJ15)/S15</f>
        <v>0.61</v>
      </c>
      <c r="AN15" s="70">
        <f ca="1">Wwp+(Wfc-Wwp)*IF((AU15+AV15)&gt;0,(TEW-(AG15*AU15+AH15*AV15)/(AU15+AV15))/TEW,(TEW-(AG15+AH15)/2)/TEW)</f>
        <v>0.373572509715126</v>
      </c>
      <c r="AO15" s="70">
        <f ca="1">Wwp+(Wfc-Wwp)*(R15-AI15)/R15</f>
        <v>0.347276025971806</v>
      </c>
      <c r="AP15" s="70">
        <f ca="1">Wwp+(Wfc-Wwp)*(S15-AJ15)/S15</f>
        <v>0.3493</v>
      </c>
      <c r="AQ15" s="70"/>
      <c r="AR15" s="70"/>
      <c r="AS15" s="70"/>
      <c r="AT15" s="70"/>
      <c r="AU15" s="70">
        <f ca="1">MIN((1-G15),fw)</f>
        <v>0.873333333333333</v>
      </c>
      <c r="AV15" s="70">
        <f ca="1" t="shared" ref="AV15:AV78" si="5">1-G15-AU15</f>
        <v>0</v>
      </c>
      <c r="AW15" s="70">
        <f ca="1">MIN((TEW-Y15)/(TEW-REW),1)</f>
        <v>0.102927238733123</v>
      </c>
      <c r="AX15" s="70">
        <f>MIN((TEW-Z15)/(TEW-REW),1)</f>
        <v>0.102927238733123</v>
      </c>
      <c r="AY15" s="70">
        <f ca="1">IF((AU15*(TEW-Y15))&gt;0,1/(1+((AV15*(TEW-Z15))/(AU15*(TEW-Y15)))),0)</f>
        <v>1</v>
      </c>
      <c r="AZ15" s="70">
        <f ca="1">MIN((AY15*AW15*(Kcmax-H15)),AU15*Kcmax)</f>
        <v>0.10366927843677</v>
      </c>
      <c r="BA15" s="70">
        <f ca="1">MIN(((1-AY15)*AX15*(Kcmax-H15)),AV15*Kcmax)</f>
        <v>0</v>
      </c>
      <c r="BB15" s="70">
        <f ca="1" t="shared" ref="BB15:BB78" si="6">B15*(AZ15+BA15)*IF($M$11=1,1-G15,1)</f>
        <v>0.157162626110144</v>
      </c>
      <c r="BC15" s="122">
        <f ca="1">MIN((R15-AA15)/(R15*(1-p)),1)</f>
        <v>1</v>
      </c>
      <c r="BD15" s="10">
        <f ca="1" t="shared" ref="BD15:BD78" si="7">B15*(H15*BC15)</f>
        <v>0.216470607503165</v>
      </c>
      <c r="BE15" s="70">
        <f ca="1">MIN(IF((1-AA15/R15)&gt;0,(1-Y15/TEW)/(1-AA15/R15)*(Ze/P15)^0.6,0),1)*BC15*H15*B15</f>
        <v>0.216470607503165</v>
      </c>
      <c r="BF15" s="70">
        <f ca="1">MIN(IF((1-AA15/R15)&gt;0,(1-Z15/TEW)/(1-AA15/R15)*(Ze/P15)^0.6,0),1)*BC15*H15*B15</f>
        <v>0.216470607503165</v>
      </c>
      <c r="BG15"/>
      <c r="BH15" s="10" t="str">
        <f ca="1" t="shared" ref="BH15:BH78" si="8">IF(F15&lt;&gt;"",(F15-I15)^2,"")</f>
        <v/>
      </c>
      <c r="BI15" s="10" t="str">
        <f ca="1">IF(F15&lt;&gt;"",(Moy_Etobs-F15)^2,"")</f>
        <v/>
      </c>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c r="A16" s="38">
        <v>39009</v>
      </c>
      <c r="B16" s="10">
        <v>1.425</v>
      </c>
      <c r="C16" s="39">
        <v>0.99</v>
      </c>
      <c r="D16">
        <v>0.245</v>
      </c>
      <c r="E16" s="39">
        <v>0</v>
      </c>
      <c r="F16" s="10">
        <v>0.5715306</v>
      </c>
      <c r="G16" s="10">
        <f ca="1">MIN(MAX(IF(AND(Durpla&gt;ROW()-MATCH(NDVImax,INDEX(D:D,Lig_min,1):INDEX(D:D,Lig_max,1),0)-Lig_min+1,ROW()-MATCH(NDVImax,INDEX(D:D,Lig_min,1):INDEX(D:D,Lig_max,1),0)-Lig_min+1&gt;0,D16*a_fc+b_fc&gt;fc_fin),NDVImax*a_fc+b_fc,D16*a_fc+b_fc),0),1)</f>
        <v>0.126666666666667</v>
      </c>
      <c r="H16" s="55">
        <f>MIN(MAX(D16*a_kcb+b_kcb,0),Kcmax)</f>
        <v>0.1427906381947</v>
      </c>
      <c r="I16" s="70">
        <f ca="1" t="shared" si="0"/>
        <v>0.354478835627066</v>
      </c>
      <c r="J16"/>
      <c r="K16"/>
      <c r="L16"/>
      <c r="M16"/>
      <c r="N16"/>
      <c r="O16" s="55"/>
      <c r="P16" s="35">
        <f ca="1">IF(ROW()-MATCH(NDVImax,INDEX(D:D,Lig_min,1):INDEX(D:D,Lig_max,1),0)-Lig_min+1&gt;0,MAX(MIN(Zr_min+MAX(INDEX(G:G,Lig_min,1):INDEX(G:G,Lig_max,1))/MAX(MAX(INDEX(G:G,Lig_min,1):INDEX(G:G,Lig_max,1)),Max_fc_pour_Zrmax)*(Zr_max-Zr_min),Zr_max),Ze+0.001),MAX(MIN(Zr_min+G16/MAX(MAX(INDEX(G:G,Lig_min,1):INDEX(G:G,Lig_max,1)),Max_fc_pour_Zrmax)*(Zr_max-Zr_min),Zr_max),Ze+0.001))</f>
        <v>184.603768827392</v>
      </c>
      <c r="Q16" s="35">
        <f ca="1">IF(Z_sol&gt;0,Z_sol-P16,0.1)</f>
        <v>429.270782237042</v>
      </c>
      <c r="R16" s="35">
        <f ca="1">(Wfc-Wwp)*P16</f>
        <v>23.998489947561</v>
      </c>
      <c r="S16" s="35">
        <f ca="1">(Wfc-Wwp)*Q16</f>
        <v>55.8052016908154</v>
      </c>
      <c r="T16" s="99">
        <f ca="1" t="shared" ref="T16:T79" si="9">AG15</f>
        <v>6.7339278129728</v>
      </c>
      <c r="U16" s="99">
        <f ca="1" t="shared" ref="U16:U79" si="10">AH15</f>
        <v>6.55397060750317</v>
      </c>
      <c r="V16" s="99">
        <f ca="1">IF(P16&gt;P15,IF(Q16&gt;1,MAX(AI15+(Wfc-Wwp)*(P16-P15)*AJ15/S15,0),AI15/P15*P16),MAX(AI15+(Wfc-Wwp)*(P16-P15)*AI15/R15,0))</f>
        <v>9.7330443131621</v>
      </c>
      <c r="W16" s="99">
        <f ca="1">IF(S16&gt;1,IF(P16&gt;P15,MAX(AJ15-(Wfc-Wwp)*(P16-P15)*AJ15/S15,0),MAX(AJ15-(Wfc-Wwp)*(P16-P15)*AI15/R15,0)),0)</f>
        <v>21.764028659418</v>
      </c>
      <c r="X16" s="99">
        <f ca="1">IF(AND(OR(AND(dec_vide_TAW&lt;0,V16&gt;R16*(p+0.04*(5-I15))),AND(dec_vide_TAW&gt;0,V16&gt;R16*dec_vide_TAW)),H16&gt;MAX(INDEX(H:H,Lig_min,1):INDEX(H:H,ROW(X16),1))*Kcbmax_stop_irrig*IF(ROW(X16)-lig_kcbmax&gt;0,1,0),MIN(INDEX(H:H,ROW(X16),1):INDEX(H:H,lig_kcbmax,1))&gt;Kcbmin_start_irrig),MIN(MAX(V16-E16*Irri_man-C16,0),Lame_max),0)</f>
        <v>0</v>
      </c>
      <c r="Y16" s="99">
        <f ca="1">MIN(MAX(T16-C16-IF(fw&gt;0,X16/fw*Irri_auto+E16/fw*Irri_man,0),0),TEW)</f>
        <v>5.7439278129728</v>
      </c>
      <c r="Z16" s="99">
        <f ca="1">MIN(MAX(U16-C16,0),TEW)</f>
        <v>5.56397060750317</v>
      </c>
      <c r="AA16" s="99">
        <f ca="1">MIN(MAX(V16-C16-(X16*Irri_auto+E16*Irri_man),0),R16)</f>
        <v>8.7430443131621</v>
      </c>
      <c r="AB16" s="99">
        <f ca="1">MIN(MAX(W16+MIN(V16-C16-(X16*Irri_auto+E16*Irri_man),0),0),S16)</f>
        <v>21.764028659418</v>
      </c>
      <c r="AC16" s="99">
        <f ca="1">-MIN(W16+MIN(V16-C16-(X16*Irri_auto+E16*Irri_man),0),0)</f>
        <v>0</v>
      </c>
      <c r="AD16" s="39">
        <f ca="1">IF(((R16-AA16)/P16-((Wfc-Wwp)*Ze-Y16)/Ze)/Wfc*DiffE&lt;0,MAX(((R16-AA16)/P16-((Wfc-Wwp)*Ze-Y16)/Ze)/Wfc*DiffE,(R16*Ze-((Wfc-Wwp)*Ze-Y16-AA16)*P16)/(P16+Ze)-AA16),MIN(((R16-AA16)/P16-((Wfc-Wwp)*Ze-Y16)/Ze)/Wfc*DiffE,(R16*Ze-((Wfc-Wwp)*Ze-Y16-AA16)*P16)/(P16+Ze)-AA16))</f>
        <v>-3.52428525209791e-9</v>
      </c>
      <c r="AE16" s="39">
        <f ca="1">IF(((R16-AA16)/P16-((Wfc-Wwp)*Ze-Z16)/Ze)/Wfc*DiffE&lt;0,MAX(((R16-AA16)/P16-((Wfc-Wwp)*Ze-Z16)/Ze)/Wfc*DiffE,(R16*Ze-((Wfc-Wwp)*Ze-Z16-AA16)*P16)/(P16+Ze)-AA16),MIN(((R16-AA16)/P16-((Wfc-Wwp)*Ze-Z16)/Ze)/Wfc*DiffE,(R16*Ze-((Wfc-Wwp)*Ze-Z16-AA16)*P16)/(P16+Ze)-AA16))</f>
        <v>-7.12342936149052e-9</v>
      </c>
      <c r="AF16" s="39">
        <f ca="1">IF(((S16-AB16)/Q16-(R16-AA16)/P16)/Wfc*DiffR&lt;0,MAX(((S16-AB16)/Q16-(R16-AA16)/P16)/Wfc*DiffR,(S16*P16-(R16-AA16-AB16)*Q16)/(P16+Q16)-AB16),MIN(((S16-AB16)/Q16-(R16-AA16)/P16)/Wfc*DiffR,(S16*P16-(R16-AA16-AB16)*Q16)/(P16+Q16)-AB16))</f>
        <v>-8.34715848844616e-9</v>
      </c>
      <c r="AG16" s="99">
        <f ca="1">MIN(MAX(Y16+IF(AU16&gt;0,B16*AZ16/AU16,0)+BE16-AD16,0),TEW)</f>
        <v>6.12030773111493</v>
      </c>
      <c r="AH16" s="99">
        <f ca="1">MIN(MAX(Z16+IF(AV16&gt;0,B16*BA16/AV16,0)+BF16-AE16,0),TEW)</f>
        <v>5.76744727405404</v>
      </c>
      <c r="AI16" s="99">
        <f ca="1" t="shared" si="1"/>
        <v>9.09752315713633</v>
      </c>
      <c r="AJ16" s="99">
        <f ca="1" t="shared" si="2"/>
        <v>21.7640286510709</v>
      </c>
      <c r="AK16" s="70">
        <f ca="1">IF((AU16+AV16)&gt;0,(TEW-(AG16*AU16+AH16*AV16)/(AU16+AV16))/TEW,(TEW-(AG16+AH16)/2)/TEW)</f>
        <v>0.815235993022945</v>
      </c>
      <c r="AL16" s="70">
        <f ca="1" t="shared" si="3"/>
        <v>0.620912683380693</v>
      </c>
      <c r="AM16" s="70">
        <f ca="1" t="shared" si="4"/>
        <v>0.610000000149577</v>
      </c>
      <c r="AN16" s="70">
        <f ca="1">Wwp+(Wfc-Wwp)*IF((AU16+AV16)&gt;0,(TEW-(AG16*AU16+AH16*AV16)/(AU16+AV16))/TEW,(TEW-(AG16+AH16)/2)/TEW)</f>
        <v>0.375980679092983</v>
      </c>
      <c r="AO16" s="70">
        <f ca="1">Wwp+(Wfc-Wwp)*(R16-AI16)/R16</f>
        <v>0.35071864883949</v>
      </c>
      <c r="AP16" s="70">
        <f ca="1">Wwp+(Wfc-Wwp)*(S16-AJ16)/S16</f>
        <v>0.349300000019445</v>
      </c>
      <c r="AQ16" s="70"/>
      <c r="AR16" s="70"/>
      <c r="AS16" s="70"/>
      <c r="AT16" s="70"/>
      <c r="AU16" s="70">
        <f ca="1">MIN((1-G16),fw)</f>
        <v>0.873333333333333</v>
      </c>
      <c r="AV16" s="70">
        <f ca="1" t="shared" si="5"/>
        <v>0</v>
      </c>
      <c r="AW16" s="70">
        <f ca="1">MIN((TEW-Y16)/(TEW-REW),1)</f>
        <v>0.105207957210005</v>
      </c>
      <c r="AX16" s="70">
        <f ca="1">MIN((TEW-Z16)/(TEW-REW),1)</f>
        <v>0.105899417713939</v>
      </c>
      <c r="AY16" s="70">
        <f ca="1">IF((AU16*(TEW-Y16))&gt;0,1/(1+((AV16*(TEW-Z16))/(AU16*(TEW-Y16)))),0)</f>
        <v>1</v>
      </c>
      <c r="AZ16" s="70">
        <f ca="1">MIN((AY16*AW16*(Kcmax-H16)),AU16*Kcmax)</f>
        <v>0.105966439438329</v>
      </c>
      <c r="BA16" s="70">
        <f ca="1">MIN(((1-AY16)*AX16*(Kcmax-H16)),AV16*Kcmax)</f>
        <v>0</v>
      </c>
      <c r="BB16" s="70">
        <f ca="1" t="shared" si="6"/>
        <v>0.151002176199618</v>
      </c>
      <c r="BC16" s="70">
        <f ca="1">MIN((R16-AA16)/(R16*(1-(p+0.04*(5-I15)))),1)</f>
        <v>1</v>
      </c>
      <c r="BD16" s="10">
        <f ca="1" t="shared" si="7"/>
        <v>0.203476659427447</v>
      </c>
      <c r="BE16" s="70">
        <f ca="1">MIN(IF((1-AA16/R16)&gt;0,(1-Y16/TEW)/(1-AA16/R16)*(Ze/P16)^0.6,0),1)*BC16*H16*B16</f>
        <v>0.203476659427447</v>
      </c>
      <c r="BF16" s="70">
        <f ca="1">MIN(IF((1-AA16/R16)&gt;0,(1-Z16/TEW)/(1-AA16/R16)*(Ze/P16)^0.6,0),1)*BC16*H16*B16</f>
        <v>0.203476659427447</v>
      </c>
      <c r="BG16"/>
      <c r="BH16" s="10">
        <f ca="1">IF(F16&lt;&gt;"",(F16-I16)^2,"")</f>
        <v>0.0471114684174038</v>
      </c>
      <c r="BI16" s="10">
        <f ca="1">IF(F16&lt;&gt;"",(Moy_Etobs-F16)^2,"")</f>
        <v>1.07607836812334</v>
      </c>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c r="A17" s="38">
        <v>39010</v>
      </c>
      <c r="B17" s="10">
        <v>0.997</v>
      </c>
      <c r="C17" s="39">
        <v>0.99</v>
      </c>
      <c r="D17">
        <v>0.245</v>
      </c>
      <c r="E17" s="39">
        <v>0</v>
      </c>
      <c r="F17"/>
      <c r="G17" s="10">
        <f ca="1">MIN(MAX(IF(AND(Durpla&gt;ROW()-MATCH(NDVImax,INDEX(D:D,Lig_min,1):INDEX(D:D,Lig_max,1),0)-Lig_min+1,ROW()-MATCH(NDVImax,INDEX(D:D,Lig_min,1):INDEX(D:D,Lig_max,1),0)-Lig_min+1&gt;0,D17*a_fc+b_fc&gt;fc_fin),NDVImax*a_fc+b_fc,D17*a_fc+b_fc),0),1)</f>
        <v>0.126666666666667</v>
      </c>
      <c r="H17" s="55">
        <f>MIN(MAX(D17*a_kcb+b_kcb,0),Kcmax)</f>
        <v>0.1427906381947</v>
      </c>
      <c r="I17" s="70">
        <f ca="1" t="shared" si="0"/>
        <v>0.250378429749347</v>
      </c>
      <c r="J17"/>
      <c r="K17"/>
      <c r="L17"/>
      <c r="M17"/>
      <c r="N17"/>
      <c r="O17" s="55"/>
      <c r="P17" s="35">
        <f ca="1">IF(ROW()-MATCH(NDVImax,INDEX(D:D,Lig_min,1):INDEX(D:D,Lig_max,1),0)-Lig_min+1&gt;0,MAX(MIN(Zr_min+MAX(INDEX(G:G,Lig_min,1):INDEX(G:G,Lig_max,1))/MAX(MAX(INDEX(G:G,Lig_min,1):INDEX(G:G,Lig_max,1)),Max_fc_pour_Zrmax)*(Zr_max-Zr_min),Zr_max),Ze+0.001),MAX(MIN(Zr_min+G17/MAX(MAX(INDEX(G:G,Lig_min,1):INDEX(G:G,Lig_max,1)),Max_fc_pour_Zrmax)*(Zr_max-Zr_min),Zr_max),Ze+0.001))</f>
        <v>184.603768827392</v>
      </c>
      <c r="Q17" s="35">
        <f ca="1">IF(Z_sol&gt;0,Z_sol-P17,0.1)</f>
        <v>429.270782237042</v>
      </c>
      <c r="R17" s="35">
        <f ca="1">(Wfc-Wwp)*P17</f>
        <v>23.998489947561</v>
      </c>
      <c r="S17" s="35">
        <f ca="1">(Wfc-Wwp)*Q17</f>
        <v>55.8052016908154</v>
      </c>
      <c r="T17" s="99">
        <f ca="1" t="shared" si="9"/>
        <v>6.12030773111493</v>
      </c>
      <c r="U17" s="99">
        <f ca="1" t="shared" si="10"/>
        <v>5.76744727405404</v>
      </c>
      <c r="V17" s="99">
        <f ca="1">IF(P17&gt;P16,IF(Q17&gt;1,MAX(AI16+(Wfc-Wwp)*(P17-P16)*AJ16/S16,0),AI16/P16*P17),MAX(AI16+(Wfc-Wwp)*(P17-P16)*AI16/R16,0))</f>
        <v>9.09752315713633</v>
      </c>
      <c r="W17" s="99">
        <f ca="1">IF(S17&gt;1,IF(P17&gt;P16,MAX(AJ16-(Wfc-Wwp)*(P17-P16)*AJ16/S16,0),MAX(AJ16-(Wfc-Wwp)*(P17-P16)*AI16/R16,0)),0)</f>
        <v>21.7640286510709</v>
      </c>
      <c r="X17" s="99">
        <f ca="1">IF(AND(OR(AND(dec_vide_TAW&lt;0,V17&gt;R17*(p+0.04*(5-I16))),AND(dec_vide_TAW&gt;0,V17&gt;R17*dec_vide_TAW)),H17&gt;MAX(INDEX(H:H,Lig_min,1):INDEX(H:H,ROW(X17),1))*Kcbmax_stop_irrig*IF(ROW(X17)-lig_kcbmax&gt;0,1,0),MIN(INDEX(H:H,ROW(X17),1):INDEX(H:H,lig_kcbmax,1))&gt;Kcbmin_start_irrig),MIN(MAX(V17-E17*Irri_man-C17,0),Lame_max),0)</f>
        <v>0</v>
      </c>
      <c r="Y17" s="99">
        <f ca="1">MIN(MAX(T17-C17-IF(fw&gt;0,X17/fw*Irri_auto+E17/fw*Irri_man,0),0),TEW)</f>
        <v>5.13030773111493</v>
      </c>
      <c r="Z17" s="99">
        <f ca="1">MIN(MAX(U17-C17,0),TEW)</f>
        <v>4.77744727405404</v>
      </c>
      <c r="AA17" s="99">
        <f ca="1">MIN(MAX(V17-C17-(X17*Irri_auto+E17*Irri_man),0),R17)</f>
        <v>8.10752315713633</v>
      </c>
      <c r="AB17" s="99">
        <f ca="1">MIN(MAX(W17+MIN(V17-C17-(X17*Irri_auto+E17*Irri_man),0),0),S17)</f>
        <v>21.7640286510709</v>
      </c>
      <c r="AC17" s="99">
        <f ca="1">-MIN(W17+MIN(V17-C17-(X17*Irri_auto+E17*Irri_man),0),0)</f>
        <v>0</v>
      </c>
      <c r="AD17" s="39">
        <f ca="1">IF(((R17-AA17)/P17-((Wfc-Wwp)*Ze-Y17)/Ze)/Wfc*DiffE&lt;0,MAX(((R17-AA17)/P17-((Wfc-Wwp)*Ze-Y17)/Ze)/Wfc*DiffE,(R17*Ze-((Wfc-Wwp)*Ze-Y17-AA17)*P17)/(P17+Ze)-AA17),MIN(((R17-AA17)/P17-((Wfc-Wwp)*Ze-Y17)/Ze)/Wfc*DiffE,(R17*Ze-((Wfc-Wwp)*Ze-Y17-AA17)*P17)/(P17+Ze)-AA17))</f>
        <v>-7.19012972004593e-9</v>
      </c>
      <c r="AE17" s="39">
        <f ca="1">IF(((R17-AA17)/P17-((Wfc-Wwp)*Ze-Z17)/Ze)/Wfc*DiffE&lt;0,MAX(((R17-AA17)/P17-((Wfc-Wwp)*Ze-Z17)/Ze)/Wfc*DiffE,(R17*Ze-((Wfc-Wwp)*Ze-Z17-AA17)*P17)/(P17+Ze)-AA17),MIN(((R17-AA17)/P17-((Wfc-Wwp)*Ze-Z17)/Ze)/Wfc*DiffE,(R17*Ze-((Wfc-Wwp)*Ze-Z17-AA17)*P17)/(P17+Ze)-AA17))</f>
        <v>-1.42473388612637e-8</v>
      </c>
      <c r="AF17" s="39">
        <f ca="1">IF(((S17-AB17)/Q17-(R17-AA17)/P17)/Wfc*DiffR&lt;0,MAX(((S17-AB17)/Q17-(R17-AA17)/P17)/Wfc*DiffR,(S17*P17-(R17-AA17-AB17)*Q17)/(P17+Q17)-AB17),MIN(((S17-AB17)/Q17-(R17-AA17)/P17)/Wfc*DiffR,(S17*P17-(R17-AA17-AB17)*Q17)/(P17+Q17)-AB17))</f>
        <v>-1.6953715609043e-8</v>
      </c>
      <c r="AG17" s="99">
        <f ca="1">MIN(MAX(Y17+IF(AU17&gt;0,B17*AZ17/AU17,0)+BE17-AD17,0),TEW)</f>
        <v>5.39635263451178</v>
      </c>
      <c r="AH17" s="99">
        <f ca="1">MIN(MAX(Z17+IF(AV17&gt;0,B17*BA17/AV17,0)+BF17-AE17,0),TEW)</f>
        <v>4.9198095545815</v>
      </c>
      <c r="AI17" s="99">
        <f ca="1" t="shared" si="1"/>
        <v>8.35790160383939</v>
      </c>
      <c r="AJ17" s="99">
        <f ca="1" t="shared" si="2"/>
        <v>21.7640286341171</v>
      </c>
      <c r="AK17" s="70">
        <f ca="1">IF((AU17+AV17)&gt;0,(TEW-(AG17*AU17+AH17*AV17)/(AU17+AV17))/TEW,(TEW-(AG17+AH17)/2)/TEW)</f>
        <v>0.837091241222286</v>
      </c>
      <c r="AL17" s="70">
        <f ca="1" t="shared" si="3"/>
        <v>0.651732187229188</v>
      </c>
      <c r="AM17" s="70">
        <f ca="1" t="shared" si="4"/>
        <v>0.610000000453378</v>
      </c>
      <c r="AN17" s="70">
        <f ca="1">Wwp+(Wfc-Wwp)*IF((AU17+AV17)&gt;0,(TEW-(AG17*AU17+AH17*AV17)/(AU17+AV17))/TEW,(TEW-(AG17+AH17)/2)/TEW)</f>
        <v>0.378821861358897</v>
      </c>
      <c r="AO17" s="70">
        <f ca="1">Wwp+(Wfc-Wwp)*(R17-AI17)/R17</f>
        <v>0.354725184339794</v>
      </c>
      <c r="AP17" s="70">
        <f ca="1">Wwp+(Wfc-Wwp)*(S17-AJ17)/S17</f>
        <v>0.349300000058939</v>
      </c>
      <c r="AQ17" s="70"/>
      <c r="AR17" s="70"/>
      <c r="AS17" s="70"/>
      <c r="AT17" s="70"/>
      <c r="AU17" s="70">
        <f ca="1">MIN((1-G17),fw)</f>
        <v>0.873333333333333</v>
      </c>
      <c r="AV17" s="70">
        <f ca="1" t="shared" si="5"/>
        <v>0</v>
      </c>
      <c r="AW17" s="70">
        <f ca="1">MIN((TEW-Y17)/(TEW-REW),1)</f>
        <v>0.107565706931212</v>
      </c>
      <c r="AX17" s="70">
        <f ca="1">MIN((TEW-Z17)/(TEW-REW),1)</f>
        <v>0.108921524103527</v>
      </c>
      <c r="AY17" s="70">
        <f ca="1">IF((AU17*(TEW-Y17))&gt;0,1/(1+((AV17*(TEW-Z17))/(AU17*(TEW-Y17)))),0)</f>
        <v>1</v>
      </c>
      <c r="AZ17" s="70">
        <f ca="1">MIN((AY17*AW17*(Kcmax-H17)),AU17*Kcmax)</f>
        <v>0.108341187030322</v>
      </c>
      <c r="BA17" s="70">
        <f ca="1">MIN(((1-AY17)*AX17*(Kcmax-H17)),AV17*Kcmax)</f>
        <v>0</v>
      </c>
      <c r="BB17" s="70">
        <f ca="1" t="shared" si="6"/>
        <v>0.108016163469231</v>
      </c>
      <c r="BC17" s="70">
        <f ca="1">MIN((R17-AA17)/(R17*(1-(p+0.04*(5-I16)))),1)</f>
        <v>1</v>
      </c>
      <c r="BD17" s="10">
        <f ca="1" t="shared" si="7"/>
        <v>0.142362266280116</v>
      </c>
      <c r="BE17" s="70">
        <f ca="1">MIN(IF((1-AA17/R17)&gt;0,(1-Y17/TEW)/(1-AA17/R17)*(Ze/P17)^0.6,0),1)*BC17*H17*B17</f>
        <v>0.142362266280116</v>
      </c>
      <c r="BF17" s="70">
        <f ca="1">MIN(IF((1-AA17/R17)&gt;0,(1-Z17/TEW)/(1-AA17/R17)*(Ze/P17)^0.6,0),1)*BC17*H17*B17</f>
        <v>0.142362266280116</v>
      </c>
      <c r="BG17"/>
      <c r="BH17" s="10" t="str">
        <f ca="1" t="shared" si="8"/>
        <v/>
      </c>
      <c r="BI17" s="10" t="str">
        <f ca="1">IF(F17&lt;&gt;"",(Moy_Etobs-F17)^2,"")</f>
        <v/>
      </c>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c r="A18" s="38">
        <v>39011</v>
      </c>
      <c r="B18" s="10">
        <v>1.567</v>
      </c>
      <c r="C18" s="39">
        <v>0.198</v>
      </c>
      <c r="D18">
        <v>0.245</v>
      </c>
      <c r="E18" s="39">
        <v>0</v>
      </c>
      <c r="F18"/>
      <c r="G18" s="10">
        <f ca="1">MIN(MAX(IF(AND(Durpla&gt;ROW()-MATCH(NDVImax,INDEX(D:D,Lig_min,1):INDEX(D:D,Lig_max,1),0)-Lig_min+1,ROW()-MATCH(NDVImax,INDEX(D:D,Lig_min,1):INDEX(D:D,Lig_max,1),0)-Lig_min+1&gt;0,D18*a_fc+b_fc&gt;fc_fin),NDVImax*a_fc+b_fc,D18*a_fc+b_fc),0),1)</f>
        <v>0.126666666666667</v>
      </c>
      <c r="H18" s="55">
        <f>MIN(MAX(D18*a_kcb+b_kcb,0),Kcmax)</f>
        <v>0.1427906381947</v>
      </c>
      <c r="I18" s="70">
        <f ca="1" t="shared" si="0"/>
        <v>0.393110919518962</v>
      </c>
      <c r="J18"/>
      <c r="K18"/>
      <c r="L18"/>
      <c r="M18"/>
      <c r="N18"/>
      <c r="O18" s="55"/>
      <c r="P18" s="35">
        <f ca="1">IF(ROW()-MATCH(NDVImax,INDEX(D:D,Lig_min,1):INDEX(D:D,Lig_max,1),0)-Lig_min+1&gt;0,MAX(MIN(Zr_min+MAX(INDEX(G:G,Lig_min,1):INDEX(G:G,Lig_max,1))/MAX(MAX(INDEX(G:G,Lig_min,1):INDEX(G:G,Lig_max,1)),Max_fc_pour_Zrmax)*(Zr_max-Zr_min),Zr_max),Ze+0.001),MAX(MIN(Zr_min+G18/MAX(MAX(INDEX(G:G,Lig_min,1):INDEX(G:G,Lig_max,1)),Max_fc_pour_Zrmax)*(Zr_max-Zr_min),Zr_max),Ze+0.001))</f>
        <v>184.603768827392</v>
      </c>
      <c r="Q18" s="35">
        <f ca="1">IF(Z_sol&gt;0,Z_sol-P18,0.1)</f>
        <v>429.270782237042</v>
      </c>
      <c r="R18" s="35">
        <f ca="1">(Wfc-Wwp)*P18</f>
        <v>23.998489947561</v>
      </c>
      <c r="S18" s="35">
        <f ca="1">(Wfc-Wwp)*Q18</f>
        <v>55.8052016908154</v>
      </c>
      <c r="T18" s="99">
        <f ca="1" t="shared" si="9"/>
        <v>5.39635263451178</v>
      </c>
      <c r="U18" s="99">
        <f ca="1" t="shared" si="10"/>
        <v>4.9198095545815</v>
      </c>
      <c r="V18" s="99">
        <f ca="1">IF(P18&gt;P17,IF(Q18&gt;1,MAX(AI17+(Wfc-Wwp)*(P18-P17)*AJ17/S17,0),AI17/P17*P18),MAX(AI17+(Wfc-Wwp)*(P18-P17)*AI17/R17,0))</f>
        <v>8.35790160383939</v>
      </c>
      <c r="W18" s="99">
        <f ca="1">IF(S18&gt;1,IF(P18&gt;P17,MAX(AJ17-(Wfc-Wwp)*(P18-P17)*AJ17/S17,0),MAX(AJ17-(Wfc-Wwp)*(P18-P17)*AI17/R17,0)),0)</f>
        <v>21.7640286341171</v>
      </c>
      <c r="X18" s="99">
        <f ca="1">IF(AND(OR(AND(dec_vide_TAW&lt;0,V18&gt;R18*(p+0.04*(5-I17))),AND(dec_vide_TAW&gt;0,V18&gt;R18*dec_vide_TAW)),H18&gt;MAX(INDEX(H:H,Lig_min,1):INDEX(H:H,ROW(X18),1))*Kcbmax_stop_irrig*IF(ROW(X18)-lig_kcbmax&gt;0,1,0),MIN(INDEX(H:H,ROW(X18),1):INDEX(H:H,lig_kcbmax,1))&gt;Kcbmin_start_irrig),MIN(MAX(V18-E18*Irri_man-C18,0),Lame_max),0)</f>
        <v>0</v>
      </c>
      <c r="Y18" s="99">
        <f ca="1">MIN(MAX(T18-C18-IF(fw&gt;0,X18/fw*Irri_auto+E18/fw*Irri_man,0),0),TEW)</f>
        <v>5.19835263451178</v>
      </c>
      <c r="Z18" s="99">
        <f ca="1">MIN(MAX(U18-C18,0),TEW)</f>
        <v>4.72180955458149</v>
      </c>
      <c r="AA18" s="99">
        <f ca="1">MIN(MAX(V18-C18-(X18*Irri_auto+E18*Irri_man),0),R18)</f>
        <v>8.15990160383939</v>
      </c>
      <c r="AB18" s="99">
        <f ca="1">MIN(MAX(W18+MIN(V18-C18-(X18*Irri_auto+E18*Irri_man),0),0),S18)</f>
        <v>21.7640286341171</v>
      </c>
      <c r="AC18" s="99">
        <f ca="1">-MIN(W18+MIN(V18-C18-(X18*Irri_auto+E18*Irri_man),0),0)</f>
        <v>0</v>
      </c>
      <c r="AD18" s="39">
        <f ca="1">IF(((R18-AA18)/P18-((Wfc-Wwp)*Ze-Y18)/Ze)/Wfc*DiffE&lt;0,MAX(((R18-AA18)/P18-((Wfc-Wwp)*Ze-Y18)/Ze)/Wfc*DiffE,(R18*Ze-((Wfc-Wwp)*Ze-Y18-AA18)*P18)/(P18+Ze)-AA18),MIN(((R18-AA18)/P18-((Wfc-Wwp)*Ze-Y18)/Ze)/Wfc*DiffE,(R18*Ze-((Wfc-Wwp)*Ze-Y18-AA18)*P18)/(P18+Ze)-AA18))</f>
        <v>-6.53856774849228e-9</v>
      </c>
      <c r="AE18" s="39">
        <f ca="1">IF(((R18-AA18)/P18-((Wfc-Wwp)*Ze-Z18)/Ze)/Wfc*DiffE&lt;0,MAX(((R18-AA18)/P18-((Wfc-Wwp)*Ze-Z18)/Ze)/Wfc*DiffE,(R18*Ze-((Wfc-Wwp)*Ze-Z18-AA18)*P18)/(P18+Ze)-AA18),MIN(((R18-AA18)/P18-((Wfc-Wwp)*Ze-Z18)/Ze)/Wfc*DiffE,(R18*Ze-((Wfc-Wwp)*Ze-Z18-AA18)*P18)/(P18+Ze)-AA18))</f>
        <v>-1.60694293470979e-8</v>
      </c>
      <c r="AF18" s="39">
        <f ca="1">IF(((S18-AB18)/Q18-(R18-AA18)/P18)/Wfc*DiffR&lt;0,MAX(((S18-AB18)/Q18-(R18-AA18)/P18)/Wfc*DiffR,(S18*P18-(R18-AA18-AB18)*Q18)/(P18+Q18)-AB18),MIN(((S18-AB18)/Q18-(R18-AA18)/P18)/Wfc*DiffR,(S18*P18-(R18-AA18-AB18)*Q18)/(P18+Q18)-AB18))</f>
        <v>-1.62443794139243e-8</v>
      </c>
      <c r="AG18" s="99">
        <f ca="1">MIN(MAX(Y18+IF(AU18&gt;0,B18*AZ18/AU18,0)+BE18-AD18,0),TEW)</f>
        <v>5.61602693308755</v>
      </c>
      <c r="AH18" s="99">
        <f ca="1">MIN(MAX(Z18+IF(AV18&gt;0,B18*BA18/AV18,0)+BF18-AE18,0),TEW)</f>
        <v>4.94556250070202</v>
      </c>
      <c r="AI18" s="99">
        <f ca="1" t="shared" si="1"/>
        <v>8.55301253960273</v>
      </c>
      <c r="AJ18" s="99">
        <f ca="1" t="shared" si="2"/>
        <v>21.7640286178728</v>
      </c>
      <c r="AK18" s="70">
        <f ca="1">IF((AU18+AV18)&gt;0,(TEW-(AG18*AU18+AH18*AV18)/(AU18+AV18))/TEW,(TEW-(AG18+AH18)/2)/TEW)</f>
        <v>0.83045956428415</v>
      </c>
      <c r="AL18" s="70">
        <f ca="1" t="shared" si="3"/>
        <v>0.643602053367029</v>
      </c>
      <c r="AM18" s="70">
        <f ca="1" t="shared" si="4"/>
        <v>0.610000000744469</v>
      </c>
      <c r="AN18" s="70">
        <f ca="1">Wwp+(Wfc-Wwp)*IF((AU18+AV18)&gt;0,(TEW-(AG18*AU18+AH18*AV18)/(AU18+AV18))/TEW,(TEW-(AG18+AH18)/2)/TEW)</f>
        <v>0.377959743356939</v>
      </c>
      <c r="AO18" s="70">
        <f ca="1">Wwp+(Wfc-Wwp)*(R18-AI18)/R18</f>
        <v>0.353668266937714</v>
      </c>
      <c r="AP18" s="70">
        <f ca="1">Wwp+(Wfc-Wwp)*(S18-AJ18)/S18</f>
        <v>0.349300000096781</v>
      </c>
      <c r="AQ18" s="70"/>
      <c r="AR18" s="70"/>
      <c r="AS18" s="70"/>
      <c r="AT18" s="70"/>
      <c r="AU18" s="70">
        <f ca="1">MIN((1-G18),fw)</f>
        <v>0.873333333333333</v>
      </c>
      <c r="AV18" s="70">
        <f ca="1" t="shared" si="5"/>
        <v>0</v>
      </c>
      <c r="AW18" s="70">
        <f ca="1">MIN((TEW-Y18)/(TEW-REW),1)</f>
        <v>0.1073042538648</v>
      </c>
      <c r="AX18" s="70">
        <f ca="1">MIN((TEW-Z18)/(TEW-REW),1)</f>
        <v>0.109135304293343</v>
      </c>
      <c r="AY18" s="70">
        <f ca="1">IF((AU18*(TEW-Y18))&gt;0,1/(1+((AV18*(TEW-Z18))/(AU18*(TEW-Y18)))),0)</f>
        <v>1</v>
      </c>
      <c r="AZ18" s="70">
        <f ca="1">MIN((AY18*AW18*(Kcmax-H18)),AU18*Kcmax)</f>
        <v>0.108077849054159</v>
      </c>
      <c r="BA18" s="70">
        <f ca="1">MIN(((1-AY18)*AX18*(Kcmax-H18)),AV18*Kcmax)</f>
        <v>0</v>
      </c>
      <c r="BB18" s="70">
        <f ca="1" t="shared" si="6"/>
        <v>0.169357989467868</v>
      </c>
      <c r="BC18" s="70">
        <f ca="1">MIN((R18-AA18)/(R18*(1-(p+0.04*(5-I17)))),1)</f>
        <v>1</v>
      </c>
      <c r="BD18" s="10">
        <f ca="1" t="shared" si="7"/>
        <v>0.223752930051095</v>
      </c>
      <c r="BE18" s="70">
        <f ca="1">MIN(IF((1-AA18/R18)&gt;0,(1-Y18/TEW)/(1-AA18/R18)*(Ze/P18)^0.6,0),1)*BC18*H18*B18</f>
        <v>0.223752930051095</v>
      </c>
      <c r="BF18" s="70">
        <f ca="1">MIN(IF((1-AA18/R18)&gt;0,(1-Z18/TEW)/(1-AA18/R18)*(Ze/P18)^0.6,0),1)*BC18*H18*B18</f>
        <v>0.223752930051095</v>
      </c>
      <c r="BG18"/>
      <c r="BH18" s="10" t="str">
        <f ca="1" t="shared" si="8"/>
        <v/>
      </c>
      <c r="BI18" s="10" t="str">
        <f ca="1">IF(F18&lt;&gt;"",(Moy_Etobs-F18)^2,"")</f>
        <v/>
      </c>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c r="A19" s="38">
        <v>39012</v>
      </c>
      <c r="B19" s="10">
        <v>1.654</v>
      </c>
      <c r="C19" s="39">
        <v>0</v>
      </c>
      <c r="D19">
        <v>0.244</v>
      </c>
      <c r="E19" s="39">
        <v>0</v>
      </c>
      <c r="F19"/>
      <c r="G19" s="10">
        <f ca="1">MIN(MAX(IF(AND(Durpla&gt;ROW()-MATCH(NDVImax,INDEX(D:D,Lig_min,1):INDEX(D:D,Lig_max,1),0)-Lig_min+1,ROW()-MATCH(NDVImax,INDEX(D:D,Lig_min,1):INDEX(D:D,Lig_max,1),0)-Lig_min+1&gt;0,D19*a_fc+b_fc&gt;fc_fin),NDVImax*a_fc+b_fc,D19*a_fc+b_fc),0),1)</f>
        <v>0.125333333333333</v>
      </c>
      <c r="H19" s="55">
        <f>MIN(MAX(D19*a_kcb+b_kcb,0),Kcmax)</f>
        <v>0.141287578845282</v>
      </c>
      <c r="I19" s="70">
        <f ca="1" t="shared" si="0"/>
        <v>0.410039625336894</v>
      </c>
      <c r="J19"/>
      <c r="K19"/>
      <c r="L19"/>
      <c r="M19"/>
      <c r="N19"/>
      <c r="O19" s="55"/>
      <c r="P19" s="35">
        <f ca="1">IF(ROW()-MATCH(NDVImax,INDEX(D:D,Lig_min,1):INDEX(D:D,Lig_max,1),0)-Lig_min+1&gt;0,MAX(MIN(Zr_min+MAX(INDEX(G:G,Lig_min,1):INDEX(G:G,Lig_max,1))/MAX(MAX(INDEX(G:G,Lig_min,1):INDEX(G:G,Lig_max,1)),Max_fc_pour_Zrmax)*(Zr_max-Zr_min),Zr_max),Ze+0.001),MAX(MIN(Zr_min+G19/MAX(MAX(INDEX(G:G,Lig_min,1):INDEX(G:G,Lig_max,1)),Max_fc_pour_Zrmax)*(Zr_max-Zr_min),Zr_max),Ze+0.001))</f>
        <v>183.976360734472</v>
      </c>
      <c r="Q19" s="35">
        <f ca="1">IF(Z_sol&gt;0,Z_sol-P19,0.1)</f>
        <v>429.898190329962</v>
      </c>
      <c r="R19" s="35">
        <f ca="1">(Wfc-Wwp)*P19</f>
        <v>23.9169268954814</v>
      </c>
      <c r="S19" s="35">
        <f ca="1">(Wfc-Wwp)*Q19</f>
        <v>55.886764742895</v>
      </c>
      <c r="T19" s="99">
        <f ca="1" t="shared" si="9"/>
        <v>5.61602693308755</v>
      </c>
      <c r="U19" s="99">
        <f ca="1" t="shared" si="10"/>
        <v>4.94556250070202</v>
      </c>
      <c r="V19" s="99">
        <f ca="1">IF(P19&gt;P18,IF(Q19&gt;1,MAX(AI18+(Wfc-Wwp)*(P19-P18)*AJ18/S18,0),AI18/P18*P19),MAX(AI18+(Wfc-Wwp)*(P19-P18)*AI18/R18,0))</f>
        <v>8.52394363532045</v>
      </c>
      <c r="W19" s="99">
        <f ca="1">IF(S19&gt;1,IF(P19&gt;P18,MAX(AJ18-(Wfc-Wwp)*(P19-P18)*AJ18/S18,0),MAX(AJ18-(Wfc-Wwp)*(P19-P18)*AI18/R18,0)),0)</f>
        <v>21.793097522155</v>
      </c>
      <c r="X19" s="99">
        <f ca="1">IF(AND(OR(AND(dec_vide_TAW&lt;0,V19&gt;R19*(p+0.04*(5-I18))),AND(dec_vide_TAW&gt;0,V19&gt;R19*dec_vide_TAW)),H19&gt;MAX(INDEX(H:H,Lig_min,1):INDEX(H:H,ROW(X19),1))*Kcbmax_stop_irrig*IF(ROW(X19)-lig_kcbmax&gt;0,1,0),MIN(INDEX(H:H,ROW(X19),1):INDEX(H:H,lig_kcbmax,1))&gt;Kcbmin_start_irrig),MIN(MAX(V19-E19*Irri_man-C19,0),Lame_max),0)</f>
        <v>0</v>
      </c>
      <c r="Y19" s="99">
        <f ca="1">MIN(MAX(T19-C19-IF(fw&gt;0,X19/fw*Irri_auto+E19/fw*Irri_man,0),0),TEW)</f>
        <v>5.61602693308755</v>
      </c>
      <c r="Z19" s="99">
        <f ca="1">MIN(MAX(U19-C19,0),TEW)</f>
        <v>4.94556250070202</v>
      </c>
      <c r="AA19" s="99">
        <f ca="1">MIN(MAX(V19-C19-(X19*Irri_auto+E19*Irri_man),0),R19)</f>
        <v>8.52394363532045</v>
      </c>
      <c r="AB19" s="99">
        <f ca="1">MIN(MAX(W19+MIN(V19-C19-(X19*Irri_auto+E19*Irri_man),0),0),S19)</f>
        <v>21.793097522155</v>
      </c>
      <c r="AC19" s="99">
        <f ca="1">-MIN(W19+MIN(V19-C19-(X19*Irri_auto+E19*Irri_man),0),0)</f>
        <v>0</v>
      </c>
      <c r="AD19" s="39">
        <f ca="1">IF(((R19-AA19)/P19-((Wfc-Wwp)*Ze-Y19)/Ze)/Wfc*DiffE&lt;0,MAX(((R19-AA19)/P19-((Wfc-Wwp)*Ze-Y19)/Ze)/Wfc*DiffE,(R19*Ze-((Wfc-Wwp)*Ze-Y19-AA19)*P19)/(P19+Ze)-AA19),MIN(((R19-AA19)/P19-((Wfc-Wwp)*Ze-Y19)/Ze)/Wfc*DiffE,(R19*Ze-((Wfc-Wwp)*Ze-Y19-AA19)*P19)/(P19+Ze)-AA19))</f>
        <v>-3.50879399396445e-9</v>
      </c>
      <c r="AE19" s="39">
        <f ca="1">IF(((R19-AA19)/P19-((Wfc-Wwp)*Ze-Z19)/Ze)/Wfc*DiffE&lt;0,MAX(((R19-AA19)/P19-((Wfc-Wwp)*Ze-Z19)/Ze)/Wfc*DiffE,(R19*Ze-((Wfc-Wwp)*Ze-Z19-AA19)*P19)/(P19+Ze)-AA19),MIN(((R19-AA19)/P19-((Wfc-Wwp)*Ze-Z19)/Ze)/Wfc*DiffE,(R19*Ze-((Wfc-Wwp)*Ze-Z19-AA19)*P19)/(P19+Ze)-AA19))</f>
        <v>-1.6918082641675e-8</v>
      </c>
      <c r="AF19" s="39">
        <f ca="1">IF(((S19-AB19)/Q19-(R19-AA19)/P19)/Wfc*DiffR&lt;0,MAX(((S19-AB19)/Q19-(R19-AA19)/P19)/Wfc*DiffR,(S19*P19-(R19-AA19-AB19)*Q19)/(P19+Q19)-AB19),MIN(((S19-AB19)/Q19-(R19-AA19)/P19)/Wfc*DiffR,(S19*P19-(R19-AA19-AB19)*Q19)/(P19+Q19)-AB19))</f>
        <v>-1.09047291080018e-8</v>
      </c>
      <c r="AG19" s="99">
        <f ca="1">MIN(MAX(Y19+IF(AU19&gt;0,B19*AZ19/AU19,0)+BE19-AD19,0),TEW)</f>
        <v>6.05133622225811</v>
      </c>
      <c r="AH19" s="99">
        <f ca="1">MIN(MAX(Z19+IF(AV19&gt;0,B19*BA19/AV19,0)+BF19-AE19,0),TEW)</f>
        <v>5.1792521730302</v>
      </c>
      <c r="AI19" s="99">
        <f ca="1" t="shared" si="1"/>
        <v>8.93398327156207</v>
      </c>
      <c r="AJ19" s="99">
        <f ca="1" t="shared" si="2"/>
        <v>21.7930975112503</v>
      </c>
      <c r="AK19" s="70">
        <f ca="1">IF((AU19+AV19)&gt;0,(TEW-(AG19*AU19+AH19*AV19)/(AU19+AV19))/TEW,(TEW-(AG19+AH19)/2)/TEW)</f>
        <v>0.817318151780887</v>
      </c>
      <c r="AL19" s="70">
        <f ca="1" t="shared" si="3"/>
        <v>0.626457725501099</v>
      </c>
      <c r="AM19" s="70">
        <f ca="1" t="shared" si="4"/>
        <v>0.610049040922146</v>
      </c>
      <c r="AN19" s="70">
        <f ca="1">Wwp+(Wfc-Wwp)*IF((AU19+AV19)&gt;0,(TEW-(AG19*AU19+AH19*AV19)/(AU19+AV19))/TEW,(TEW-(AG19+AH19)/2)/TEW)</f>
        <v>0.376251359731515</v>
      </c>
      <c r="AO19" s="70">
        <f ca="1">Wwp+(Wfc-Wwp)*(R19-AI19)/R19</f>
        <v>0.351439504315143</v>
      </c>
      <c r="AP19" s="70">
        <f ca="1">Wwp+(Wfc-Wwp)*(S19-AJ19)/S19</f>
        <v>0.349306375319879</v>
      </c>
      <c r="AQ19" s="70"/>
      <c r="AR19" s="70"/>
      <c r="AS19" s="70"/>
      <c r="AT19" s="70"/>
      <c r="AU19" s="70">
        <f ca="1">MIN((1-G19),fw)</f>
        <v>0.874666666666667</v>
      </c>
      <c r="AV19" s="70">
        <f ca="1" t="shared" si="5"/>
        <v>0</v>
      </c>
      <c r="AW19" s="70">
        <f ca="1">MIN((TEW-Y19)/(TEW-REW),1)</f>
        <v>0.105699398531447</v>
      </c>
      <c r="AX19" s="70">
        <f ca="1">MIN((TEW-Z19)/(TEW-REW),1)</f>
        <v>0.108275564754283</v>
      </c>
      <c r="AY19" s="70">
        <f ca="1">IF((AU19*(TEW-Y19))&gt;0,1/(1+((AV19*(TEW-Z19))/(AU19*(TEW-Y19)))),0)</f>
        <v>1</v>
      </c>
      <c r="AZ19" s="70">
        <f ca="1">MIN((AY19*AW19*(Kcmax-H19)),AU19*Kcmax)</f>
        <v>0.106620296207253</v>
      </c>
      <c r="BA19" s="70">
        <f ca="1">MIN(((1-AY19)*AX19*(Kcmax-H19)),AV19*Kcmax)</f>
        <v>0</v>
      </c>
      <c r="BB19" s="70">
        <f ca="1" t="shared" si="6"/>
        <v>0.176349969926797</v>
      </c>
      <c r="BC19" s="70">
        <f ca="1">MIN((R19-AA19)/(R19*(1-(p+0.04*(5-I18)))),1)</f>
        <v>1</v>
      </c>
      <c r="BD19" s="10">
        <f ca="1" t="shared" si="7"/>
        <v>0.233689655410096</v>
      </c>
      <c r="BE19" s="70">
        <f ca="1">MIN(IF((1-AA19/R19)&gt;0,(1-Y19/TEW)/(1-AA19/R19)*(Ze/P19)^0.6,0),1)*BC19*H19*B19</f>
        <v>0.233689655410096</v>
      </c>
      <c r="BF19" s="70">
        <f ca="1">MIN(IF((1-AA19/R19)&gt;0,(1-Z19/TEW)/(1-AA19/R19)*(Ze/P19)^0.6,0),1)*BC19*H19*B19</f>
        <v>0.233689655410096</v>
      </c>
      <c r="BG19"/>
      <c r="BH19" s="10" t="str">
        <f ca="1" t="shared" si="8"/>
        <v/>
      </c>
      <c r="BI19" s="10" t="str">
        <f ca="1">IF(F19&lt;&gt;"",(Moy_Etobs-F19)^2,"")</f>
        <v/>
      </c>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c r="A20" s="38">
        <v>39013</v>
      </c>
      <c r="B20" s="10">
        <v>1.485</v>
      </c>
      <c r="C20" s="39">
        <v>0.396</v>
      </c>
      <c r="D20">
        <v>0.244</v>
      </c>
      <c r="E20" s="39">
        <v>0</v>
      </c>
      <c r="F20" s="10">
        <v>0.3784806</v>
      </c>
      <c r="G20" s="10">
        <f ca="1">MIN(MAX(IF(AND(Durpla&gt;ROW()-MATCH(NDVImax,INDEX(D:D,Lig_min,1):INDEX(D:D,Lig_max,1),0)-Lig_min+1,ROW()-MATCH(NDVImax,INDEX(D:D,Lig_min,1):INDEX(D:D,Lig_max,1),0)-Lig_min+1&gt;0,D20*a_fc+b_fc&gt;fc_fin),NDVImax*a_fc+b_fc,D20*a_fc+b_fc),0),1)</f>
        <v>0.125333333333333</v>
      </c>
      <c r="H20" s="55">
        <f>MIN(MAX(D20*a_kcb+b_kcb,0),Kcmax)</f>
        <v>0.141287578845282</v>
      </c>
      <c r="I20" s="70">
        <f ca="1" t="shared" si="0"/>
        <v>0.367916945201666</v>
      </c>
      <c r="J20"/>
      <c r="K20"/>
      <c r="L20"/>
      <c r="M20"/>
      <c r="N20"/>
      <c r="O20" s="55"/>
      <c r="P20" s="35">
        <f ca="1">IF(ROW()-MATCH(NDVImax,INDEX(D:D,Lig_min,1):INDEX(D:D,Lig_max,1),0)-Lig_min+1&gt;0,MAX(MIN(Zr_min+MAX(INDEX(G:G,Lig_min,1):INDEX(G:G,Lig_max,1))/MAX(MAX(INDEX(G:G,Lig_min,1):INDEX(G:G,Lig_max,1)),Max_fc_pour_Zrmax)*(Zr_max-Zr_min),Zr_max),Ze+0.001),MAX(MIN(Zr_min+G20/MAX(MAX(INDEX(G:G,Lig_min,1):INDEX(G:G,Lig_max,1)),Max_fc_pour_Zrmax)*(Zr_max-Zr_min),Zr_max),Ze+0.001))</f>
        <v>183.976360734472</v>
      </c>
      <c r="Q20" s="35">
        <f ca="1">IF(Z_sol&gt;0,Z_sol-P20,0.1)</f>
        <v>429.898190329962</v>
      </c>
      <c r="R20" s="35">
        <f ca="1">(Wfc-Wwp)*P20</f>
        <v>23.9169268954814</v>
      </c>
      <c r="S20" s="35">
        <f ca="1">(Wfc-Wwp)*Q20</f>
        <v>55.886764742895</v>
      </c>
      <c r="T20" s="99">
        <f ca="1" t="shared" si="9"/>
        <v>6.05133622225811</v>
      </c>
      <c r="U20" s="99">
        <f ca="1" t="shared" si="10"/>
        <v>5.1792521730302</v>
      </c>
      <c r="V20" s="99">
        <f ca="1">IF(P20&gt;P19,IF(Q20&gt;1,MAX(AI19+(Wfc-Wwp)*(P20-P19)*AJ19/S19,0),AI19/P19*P20),MAX(AI19+(Wfc-Wwp)*(P20-P19)*AI19/R19,0))</f>
        <v>8.93398327156207</v>
      </c>
      <c r="W20" s="99">
        <f ca="1">IF(S20&gt;1,IF(P20&gt;P19,MAX(AJ19-(Wfc-Wwp)*(P20-P19)*AJ19/S19,0),MAX(AJ19-(Wfc-Wwp)*(P20-P19)*AI19/R19,0)),0)</f>
        <v>21.7930975112503</v>
      </c>
      <c r="X20" s="99">
        <f ca="1">IF(AND(OR(AND(dec_vide_TAW&lt;0,V20&gt;R20*(p+0.04*(5-I19))),AND(dec_vide_TAW&gt;0,V20&gt;R20*dec_vide_TAW)),H20&gt;MAX(INDEX(H:H,Lig_min,1):INDEX(H:H,ROW(X20),1))*Kcbmax_stop_irrig*IF(ROW(X20)-lig_kcbmax&gt;0,1,0),MIN(INDEX(H:H,ROW(X20),1):INDEX(H:H,lig_kcbmax,1))&gt;Kcbmin_start_irrig),MIN(MAX(V20-E20*Irri_man-C20,0),Lame_max),0)</f>
        <v>0</v>
      </c>
      <c r="Y20" s="99">
        <f ca="1">MIN(MAX(T20-C20-IF(fw&gt;0,X20/fw*Irri_auto+E20/fw*Irri_man,0),0),TEW)</f>
        <v>5.65533622225811</v>
      </c>
      <c r="Z20" s="99">
        <f ca="1">MIN(MAX(U20-C20,0),TEW)</f>
        <v>4.7832521730302</v>
      </c>
      <c r="AA20" s="99">
        <f ca="1">MIN(MAX(V20-C20-(X20*Irri_auto+E20*Irri_man),0),R20)</f>
        <v>8.53798327156207</v>
      </c>
      <c r="AB20" s="99">
        <f ca="1">MIN(MAX(W20+MIN(V20-C20-(X20*Irri_auto+E20*Irri_man),0),0),S20)</f>
        <v>21.7930975112503</v>
      </c>
      <c r="AC20" s="99">
        <f ca="1">-MIN(W20+MIN(V20-C20-(X20*Irri_auto+E20*Irri_man),0),0)</f>
        <v>0</v>
      </c>
      <c r="AD20" s="39">
        <f ca="1">IF(((R20-AA20)/P20-((Wfc-Wwp)*Ze-Y20)/Ze)/Wfc*DiffE&lt;0,MAX(((R20-AA20)/P20-((Wfc-Wwp)*Ze-Y20)/Ze)/Wfc*DiffE,(R20*Ze-((Wfc-Wwp)*Ze-Y20-AA20)*P20)/(P20+Ze)-AA20),MIN(((R20-AA20)/P20-((Wfc-Wwp)*Ze-Y20)/Ze)/Wfc*DiffE,(R20*Ze-((Wfc-Wwp)*Ze-Y20-AA20)*P20)/(P20+Ze)-AA20))</f>
        <v>-2.9133886481264e-9</v>
      </c>
      <c r="AE20" s="39">
        <f ca="1">IF(((R20-AA20)/P20-((Wfc-Wwp)*Ze-Z20)/Ze)/Wfc*DiffE&lt;0,MAX(((R20-AA20)/P20-((Wfc-Wwp)*Ze-Z20)/Ze)/Wfc*DiffE,(R20*Ze-((Wfc-Wwp)*Ze-Z20-AA20)*P20)/(P20+Ze)-AA20),MIN(((R20-AA20)/P20-((Wfc-Wwp)*Ze-Z20)/Ze)/Wfc*DiffE,(R20*Ze-((Wfc-Wwp)*Ze-Z20-AA20)*P20)/(P20+Ze)-AA20))</f>
        <v>-2.03550696326846e-8</v>
      </c>
      <c r="AF20" s="39">
        <f ca="1">IF(((S20-AB20)/Q20-(R20-AA20)/P20)/Wfc*DiffR&lt;0,MAX(((S20-AB20)/Q20-(R20-AA20)/P20)/Wfc*DiffR,(S20*P20-(R20-AA20-AB20)*Q20)/(P20+Q20)-AB20),MIN(((S20-AB20)/Q20-(R20-AA20)/P20)/Wfc*DiffR,(S20*P20-(R20-AA20-AB20)*Q20)/(P20+Q20)-AB20))</f>
        <v>-1.0713948607014e-8</v>
      </c>
      <c r="AG20" s="99">
        <f ca="1">MIN(MAX(Y20+IF(AU20&gt;0,B20*AZ20/AU20,0)+BE20-AD20,0),TEW)</f>
        <v>6.04590844433345</v>
      </c>
      <c r="AH20" s="99">
        <f ca="1">MIN(MAX(Z20+IF(AV20&gt;0,B20*BA20/AV20,0)+BF20-AE20,0),TEW)</f>
        <v>4.99306424797051</v>
      </c>
      <c r="AI20" s="99">
        <f ca="1" t="shared" si="1"/>
        <v>8.90590022747768</v>
      </c>
      <c r="AJ20" s="99">
        <f ca="1" t="shared" si="2"/>
        <v>21.7930975005364</v>
      </c>
      <c r="AK20" s="70">
        <f ca="1">IF((AU20+AV20)&gt;0,(TEW-(AG20*AU20+AH20*AV20)/(AU20+AV20))/TEW,(TEW-(AG20+AH20)/2)/TEW)</f>
        <v>0.81748200922767</v>
      </c>
      <c r="AL20" s="70">
        <f ca="1" t="shared" si="3"/>
        <v>0.627631916658981</v>
      </c>
      <c r="AM20" s="70">
        <f ca="1" t="shared" si="4"/>
        <v>0.610049041113854</v>
      </c>
      <c r="AN20" s="70">
        <f ca="1">Wwp+(Wfc-Wwp)*IF((AU20+AV20)&gt;0,(TEW-(AG20*AU20+AH20*AV20)/(AU20+AV20))/TEW,(TEW-(AG20+AH20)/2)/TEW)</f>
        <v>0.376272661199597</v>
      </c>
      <c r="AO20" s="70">
        <f ca="1">Wwp+(Wfc-Wwp)*(R20-AI20)/R20</f>
        <v>0.351592149165668</v>
      </c>
      <c r="AP20" s="70">
        <f ca="1">Wwp+(Wfc-Wwp)*(S20-AJ20)/S20</f>
        <v>0.349306375344801</v>
      </c>
      <c r="AQ20" s="70"/>
      <c r="AR20" s="70"/>
      <c r="AS20" s="70"/>
      <c r="AT20" s="70"/>
      <c r="AU20" s="70">
        <f ca="1">MIN((1-G20),fw)</f>
        <v>0.874666666666667</v>
      </c>
      <c r="AV20" s="70">
        <f ca="1" t="shared" si="5"/>
        <v>0</v>
      </c>
      <c r="AW20" s="70">
        <f ca="1">MIN((TEW-Y20)/(TEW-REW),1)</f>
        <v>0.105548358061419</v>
      </c>
      <c r="AX20" s="70">
        <f ca="1">MIN((TEW-Z20)/(TEW-REW),1)</f>
        <v>0.108899219587512</v>
      </c>
      <c r="AY20" s="70">
        <f ca="1">IF((AU20*(TEW-Y20))&gt;0,1/(1+((AV20*(TEW-Z20))/(AU20*(TEW-Y20)))),0)</f>
        <v>1</v>
      </c>
      <c r="AZ20" s="70">
        <f ca="1">MIN((AY20*AW20*(Kcmax-H20)),AU20*Kcmax)</f>
        <v>0.106467939809039</v>
      </c>
      <c r="BA20" s="70">
        <f ca="1">MIN(((1-AY20)*AX20*(Kcmax-H20)),AV20*Kcmax)</f>
        <v>0</v>
      </c>
      <c r="BB20" s="70">
        <f ca="1" t="shared" si="6"/>
        <v>0.158104890616422</v>
      </c>
      <c r="BC20" s="70">
        <f ca="1">MIN((R20-AA20)/(R20*(1-(p+0.04*(5-I19)))),1)</f>
        <v>1</v>
      </c>
      <c r="BD20" s="10">
        <f ca="1" t="shared" si="7"/>
        <v>0.209812054585244</v>
      </c>
      <c r="BE20" s="70">
        <f ca="1">MIN(IF((1-AA20/R20)&gt;0,(1-Y20/TEW)/(1-AA20/R20)*(Ze/P20)^0.6,0),1)*BC20*H20*B20</f>
        <v>0.209812054585244</v>
      </c>
      <c r="BF20" s="70">
        <f ca="1">MIN(IF((1-AA20/R20)&gt;0,(1-Z20/TEW)/(1-AA20/R20)*(Ze/P20)^0.6,0),1)*BC20*H20*B20</f>
        <v>0.209812054585244</v>
      </c>
      <c r="BG20"/>
      <c r="BH20" s="10">
        <f ca="1" t="shared" si="8"/>
        <v>0.000111590802698361</v>
      </c>
      <c r="BI20" s="10">
        <f ca="1">IF(F20&lt;&gt;"",(Moy_Etobs-F20)^2,"")</f>
        <v>1.51386440624526</v>
      </c>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c r="A21" s="38">
        <v>39014</v>
      </c>
      <c r="B21" s="10">
        <v>1.765</v>
      </c>
      <c r="C21" s="39">
        <v>0</v>
      </c>
      <c r="D21">
        <v>0.244</v>
      </c>
      <c r="E21" s="39">
        <v>0</v>
      </c>
      <c r="F21"/>
      <c r="G21" s="10">
        <f ca="1">MIN(MAX(IF(AND(Durpla&gt;ROW()-MATCH(NDVImax,INDEX(D:D,Lig_min,1):INDEX(D:D,Lig_max,1),0)-Lig_min+1,ROW()-MATCH(NDVImax,INDEX(D:D,Lig_min,1):INDEX(D:D,Lig_max,1),0)-Lig_min+1&gt;0,D21*a_fc+b_fc&gt;fc_fin),NDVImax*a_fc+b_fc,D21*a_fc+b_fc),0),1)</f>
        <v>0.125333333333333</v>
      </c>
      <c r="H21" s="55">
        <f>MIN(MAX(D21*a_kcb+b_kcb,0),Kcmax)</f>
        <v>0.141287578845282</v>
      </c>
      <c r="I21" s="70">
        <f ca="1" t="shared" si="0"/>
        <v>0.434616643525127</v>
      </c>
      <c r="J21"/>
      <c r="K21"/>
      <c r="L21"/>
      <c r="M21"/>
      <c r="N21"/>
      <c r="O21" s="55"/>
      <c r="P21" s="35">
        <f ca="1">IF(ROW()-MATCH(NDVImax,INDEX(D:D,Lig_min,1):INDEX(D:D,Lig_max,1),0)-Lig_min+1&gt;0,MAX(MIN(Zr_min+MAX(INDEX(G:G,Lig_min,1):INDEX(G:G,Lig_max,1))/MAX(MAX(INDEX(G:G,Lig_min,1):INDEX(G:G,Lig_max,1)),Max_fc_pour_Zrmax)*(Zr_max-Zr_min),Zr_max),Ze+0.001),MAX(MIN(Zr_min+G21/MAX(MAX(INDEX(G:G,Lig_min,1):INDEX(G:G,Lig_max,1)),Max_fc_pour_Zrmax)*(Zr_max-Zr_min),Zr_max),Ze+0.001))</f>
        <v>183.976360734472</v>
      </c>
      <c r="Q21" s="35">
        <f ca="1">IF(Z_sol&gt;0,Z_sol-P21,0.1)</f>
        <v>429.898190329962</v>
      </c>
      <c r="R21" s="35">
        <f ca="1">(Wfc-Wwp)*P21</f>
        <v>23.9169268954814</v>
      </c>
      <c r="S21" s="35">
        <f ca="1">(Wfc-Wwp)*Q21</f>
        <v>55.886764742895</v>
      </c>
      <c r="T21" s="99">
        <f ca="1" t="shared" si="9"/>
        <v>6.04590844433345</v>
      </c>
      <c r="U21" s="99">
        <f ca="1" t="shared" si="10"/>
        <v>4.99306424797051</v>
      </c>
      <c r="V21" s="99">
        <f ca="1">IF(P21&gt;P20,IF(Q21&gt;1,MAX(AI20+(Wfc-Wwp)*(P21-P20)*AJ20/S20,0),AI20/P20*P21),MAX(AI20+(Wfc-Wwp)*(P21-P20)*AI20/R20,0))</f>
        <v>8.90590022747768</v>
      </c>
      <c r="W21" s="99">
        <f ca="1">IF(S21&gt;1,IF(P21&gt;P20,MAX(AJ20-(Wfc-Wwp)*(P21-P20)*AJ20/S20,0),MAX(AJ20-(Wfc-Wwp)*(P21-P20)*AI20/R20,0)),0)</f>
        <v>21.7930975005364</v>
      </c>
      <c r="X21" s="99">
        <f ca="1">IF(AND(OR(AND(dec_vide_TAW&lt;0,V21&gt;R21*(p+0.04*(5-I20))),AND(dec_vide_TAW&gt;0,V21&gt;R21*dec_vide_TAW)),H21&gt;MAX(INDEX(H:H,Lig_min,1):INDEX(H:H,ROW(X21),1))*Kcbmax_stop_irrig*IF(ROW(X21)-lig_kcbmax&gt;0,1,0),MIN(INDEX(H:H,ROW(X21),1):INDEX(H:H,lig_kcbmax,1))&gt;Kcbmin_start_irrig),MIN(MAX(V21-E21*Irri_man-C21,0),Lame_max),0)</f>
        <v>0</v>
      </c>
      <c r="Y21" s="99">
        <f ca="1">MIN(MAX(T21-C21-IF(fw&gt;0,X21/fw*Irri_auto+E21/fw*Irri_man,0),0),TEW)</f>
        <v>6.04590844433345</v>
      </c>
      <c r="Z21" s="99">
        <f ca="1">MIN(MAX(U21-C21,0),TEW)</f>
        <v>4.99306424797051</v>
      </c>
      <c r="AA21" s="99">
        <f ca="1">MIN(MAX(V21-C21-(X21*Irri_auto+E21*Irri_man),0),R21)</f>
        <v>8.90590022747768</v>
      </c>
      <c r="AB21" s="99">
        <f ca="1">MIN(MAX(W21+MIN(V21-C21-(X21*Irri_auto+E21*Irri_man),0),0),S21)</f>
        <v>21.7930975005364</v>
      </c>
      <c r="AC21" s="99">
        <f ca="1">-MIN(W21+MIN(V21-C21-(X21*Irri_auto+E21*Irri_man),0),0)</f>
        <v>0</v>
      </c>
      <c r="AD21" s="39">
        <f ca="1">IF(((R21-AA21)/P21-((Wfc-Wwp)*Ze-Y21)/Ze)/Wfc*DiffE&lt;0,MAX(((R21-AA21)/P21-((Wfc-Wwp)*Ze-Y21)/Ze)/Wfc*DiffE,(R21*Ze-((Wfc-Wwp)*Ze-Y21-AA21)*P21)/(P21+Ze)-AA21),MIN(((R21-AA21)/P21-((Wfc-Wwp)*Ze-Y21)/Ze)/Wfc*DiffE,(R21*Ze-((Wfc-Wwp)*Ze-Y21-AA21)*P21)/(P21+Ze)-AA21))</f>
        <v>-1.01458199162213e-10</v>
      </c>
      <c r="AE21" s="39">
        <f ca="1">IF(((R21-AA21)/P21-((Wfc-Wwp)*Ze-Z21)/Ze)/Wfc*DiffE&lt;0,MAX(((R21-AA21)/P21-((Wfc-Wwp)*Ze-Z21)/Ze)/Wfc*DiffE,(R21*Ze-((Wfc-Wwp)*Ze-Z21-AA21)*P21)/(P21+Ze)-AA21),MIN(((R21-AA21)/P21-((Wfc-Wwp)*Ze-Z21)/Ze)/Wfc*DiffE,(R21*Ze-((Wfc-Wwp)*Ze-Z21-AA21)*P21)/(P21+Ze)-AA21))</f>
        <v>-2.11583421264209e-8</v>
      </c>
      <c r="AF21" s="39">
        <f ca="1">IF(((S21-AB21)/Q21-(R21-AA21)/P21)/Wfc*DiffR&lt;0,MAX(((S21-AB21)/Q21-(R21-AA21)/P21)/Wfc*DiffR,(S21*P21-(R21-AA21-AB21)*Q21)/(P21+Q21)-AB21),MIN(((S21-AB21)/Q21-(R21-AA21)/P21)/Wfc*DiffR,(S21*P21-(R21-AA21-AB21)*Q21)/(P21+Q21)-AB21))</f>
        <v>-5.71443455216633e-9</v>
      </c>
      <c r="AG21" s="99">
        <f ca="1">MIN(MAX(Y21+IF(AU21&gt;0,B21*AZ21/AU21,0)+BE21-AD21,0),TEW)</f>
        <v>6.50706920729714</v>
      </c>
      <c r="AH21" s="99">
        <f ca="1">MIN(MAX(Z21+IF(AV21&gt;0,B21*BA21/AV21,0)+BF21-AE21,0),TEW)</f>
        <v>5.24243684579078</v>
      </c>
      <c r="AI21" s="99">
        <f ca="1" t="shared" si="1"/>
        <v>9.34051687671724</v>
      </c>
      <c r="AJ21" s="99">
        <f ca="1" t="shared" si="2"/>
        <v>21.7930974948219</v>
      </c>
      <c r="AK21" s="70">
        <f ca="1">IF((AU21+AV21)&gt;0,(TEW-(AG21*AU21+AH21*AV21)/(AU21+AV21))/TEW,(TEW-(AG21+AH21)/2)/TEW)</f>
        <v>0.803560174874049</v>
      </c>
      <c r="AL21" s="70">
        <f ca="1" t="shared" si="3"/>
        <v>0.609459989674429</v>
      </c>
      <c r="AM21" s="70">
        <f ca="1" t="shared" si="4"/>
        <v>0.610049041216104</v>
      </c>
      <c r="AN21" s="70">
        <f ca="1">Wwp+(Wfc-Wwp)*IF((AU21+AV21)&gt;0,(TEW-(AG21*AU21+AH21*AV21)/(AU21+AV21))/TEW,(TEW-(AG21+AH21)/2)/TEW)</f>
        <v>0.374462822733626</v>
      </c>
      <c r="AO21" s="70">
        <f ca="1">Wwp+(Wfc-Wwp)*(R21-AI21)/R21</f>
        <v>0.349229798657676</v>
      </c>
      <c r="AP21" s="70">
        <f ca="1">Wwp+(Wfc-Wwp)*(S21-AJ21)/S21</f>
        <v>0.349306375358094</v>
      </c>
      <c r="AQ21" s="70"/>
      <c r="AR21" s="70"/>
      <c r="AS21" s="70"/>
      <c r="AT21" s="70"/>
      <c r="AU21" s="70">
        <f ca="1">MIN((1-G21),fw)</f>
        <v>0.874666666666667</v>
      </c>
      <c r="AV21" s="70">
        <f ca="1" t="shared" si="5"/>
        <v>0</v>
      </c>
      <c r="AW21" s="70">
        <f ca="1">MIN((TEW-Y21)/(TEW-REW),1)</f>
        <v>0.104047638683198</v>
      </c>
      <c r="AX21" s="70">
        <f ca="1">MIN((TEW-Z21)/(TEW-REW),1)</f>
        <v>0.108093045904769</v>
      </c>
      <c r="AY21" s="70">
        <f ca="1">IF((AU21*(TEW-Y21))&gt;0,1/(1+((AV21*(TEW-Z21))/(AU21*(TEW-Y21)))),0)</f>
        <v>1</v>
      </c>
      <c r="AZ21" s="70">
        <f ca="1">MIN((AY21*AW21*(Kcmax-H21)),AU21*Kcmax)</f>
        <v>0.10495414553156</v>
      </c>
      <c r="BA21" s="70">
        <f ca="1">MIN(((1-AY21)*AX21*(Kcmax-H21)),AV21*Kcmax)</f>
        <v>0</v>
      </c>
      <c r="BB21" s="70">
        <f ca="1" t="shared" si="6"/>
        <v>0.185244066863204</v>
      </c>
      <c r="BC21" s="70">
        <f ca="1">MIN((R21-AA21)/(R21*(1-(p+0.04*(5-I20)))),1)</f>
        <v>1</v>
      </c>
      <c r="BD21" s="10">
        <f ca="1" t="shared" si="7"/>
        <v>0.249372576661923</v>
      </c>
      <c r="BE21" s="70">
        <f ca="1">MIN(IF((1-AA21/R21)&gt;0,(1-Y21/TEW)/(1-AA21/R21)*(Ze/P21)^0.6,0),1)*BC21*H21*B21</f>
        <v>0.249372576661923</v>
      </c>
      <c r="BF21" s="70">
        <f ca="1">MIN(IF((1-AA21/R21)&gt;0,(1-Z21/TEW)/(1-AA21/R21)*(Ze/P21)^0.6,0),1)*BC21*H21*B21</f>
        <v>0.249372576661923</v>
      </c>
      <c r="BG21"/>
      <c r="BH21" s="10" t="str">
        <f ca="1" t="shared" si="8"/>
        <v/>
      </c>
      <c r="BI21" s="10" t="str">
        <f ca="1">IF(F21&lt;&gt;"",(Moy_Etobs-F21)^2,"")</f>
        <v/>
      </c>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c r="A22" s="38">
        <v>39015</v>
      </c>
      <c r="B22" s="10">
        <v>1.457</v>
      </c>
      <c r="C22" s="39">
        <v>0</v>
      </c>
      <c r="D22">
        <v>0.244</v>
      </c>
      <c r="E22" s="39">
        <v>0</v>
      </c>
      <c r="F22" s="10">
        <v>0.2030436</v>
      </c>
      <c r="G22" s="10">
        <f ca="1">MIN(MAX(IF(AND(Durpla&gt;ROW()-MATCH(NDVImax,INDEX(D:D,Lig_min,1):INDEX(D:D,Lig_max,1),0)-Lig_min+1,ROW()-MATCH(NDVImax,INDEX(D:D,Lig_min,1):INDEX(D:D,Lig_max,1),0)-Lig_min+1&gt;0,D22*a_fc+b_fc&gt;fc_fin),NDVImax*a_fc+b_fc,D22*a_fc+b_fc),0),1)</f>
        <v>0.125333333333333</v>
      </c>
      <c r="H22" s="55">
        <f>MIN(MAX(D22*a_kcb+b_kcb,0),Kcmax)</f>
        <v>0.141287578845282</v>
      </c>
      <c r="I22" s="70">
        <f ca="1" t="shared" si="0"/>
        <v>0.356169973991021</v>
      </c>
      <c r="J22"/>
      <c r="K22"/>
      <c r="L22"/>
      <c r="M22"/>
      <c r="N22"/>
      <c r="O22" s="55"/>
      <c r="P22" s="35">
        <f ca="1">IF(ROW()-MATCH(NDVImax,INDEX(D:D,Lig_min,1):INDEX(D:D,Lig_max,1),0)-Lig_min+1&gt;0,MAX(MIN(Zr_min+MAX(INDEX(G:G,Lig_min,1):INDEX(G:G,Lig_max,1))/MAX(MAX(INDEX(G:G,Lig_min,1):INDEX(G:G,Lig_max,1)),Max_fc_pour_Zrmax)*(Zr_max-Zr_min),Zr_max),Ze+0.001),MAX(MIN(Zr_min+G22/MAX(MAX(INDEX(G:G,Lig_min,1):INDEX(G:G,Lig_max,1)),Max_fc_pour_Zrmax)*(Zr_max-Zr_min),Zr_max),Ze+0.001))</f>
        <v>183.976360734472</v>
      </c>
      <c r="Q22" s="35">
        <f ca="1">IF(Z_sol&gt;0,Z_sol-P22,0.1)</f>
        <v>429.898190329962</v>
      </c>
      <c r="R22" s="35">
        <f ca="1">(Wfc-Wwp)*P22</f>
        <v>23.9169268954814</v>
      </c>
      <c r="S22" s="35">
        <f ca="1">(Wfc-Wwp)*Q22</f>
        <v>55.886764742895</v>
      </c>
      <c r="T22" s="99">
        <f ca="1" t="shared" si="9"/>
        <v>6.50706920729714</v>
      </c>
      <c r="U22" s="99">
        <f ca="1" t="shared" si="10"/>
        <v>5.24243684579078</v>
      </c>
      <c r="V22" s="99">
        <f ca="1">IF(P22&gt;P21,IF(Q22&gt;1,MAX(AI21+(Wfc-Wwp)*(P22-P21)*AJ21/S21,0),AI21/P21*P22),MAX(AI21+(Wfc-Wwp)*(P22-P21)*AI21/R21,0))</f>
        <v>9.34051687671724</v>
      </c>
      <c r="W22" s="99">
        <f ca="1">IF(S22&gt;1,IF(P22&gt;P21,MAX(AJ21-(Wfc-Wwp)*(P22-P21)*AJ21/S21,0),MAX(AJ21-(Wfc-Wwp)*(P22-P21)*AI21/R21,0)),0)</f>
        <v>21.7930974948219</v>
      </c>
      <c r="X22" s="99">
        <f ca="1">IF(AND(OR(AND(dec_vide_TAW&lt;0,V22&gt;R22*(p+0.04*(5-I21))),AND(dec_vide_TAW&gt;0,V22&gt;R22*dec_vide_TAW)),H22&gt;MAX(INDEX(H:H,Lig_min,1):INDEX(H:H,ROW(X22),1))*Kcbmax_stop_irrig*IF(ROW(X22)-lig_kcbmax&gt;0,1,0),MIN(INDEX(H:H,ROW(X22),1):INDEX(H:H,lig_kcbmax,1))&gt;Kcbmin_start_irrig),MIN(MAX(V22-E22*Irri_man-C22,0),Lame_max),0)</f>
        <v>0</v>
      </c>
      <c r="Y22" s="99">
        <f ca="1">MIN(MAX(T22-C22-IF(fw&gt;0,X22/fw*Irri_auto+E22/fw*Irri_man,0),0),TEW)</f>
        <v>6.50706920729714</v>
      </c>
      <c r="Z22" s="99">
        <f ca="1">MIN(MAX(U22-C22,0),TEW)</f>
        <v>5.24243684579078</v>
      </c>
      <c r="AA22" s="99">
        <f ca="1">MIN(MAX(V22-C22-(X22*Irri_auto+E22*Irri_man),0),R22)</f>
        <v>9.34051687671724</v>
      </c>
      <c r="AB22" s="99">
        <f ca="1">MIN(MAX(W22+MIN(V22-C22-(X22*Irri_auto+E22*Irri_man),0),0),S22)</f>
        <v>21.7930974948219</v>
      </c>
      <c r="AC22" s="99">
        <f ca="1">-MIN(W22+MIN(V22-C22-(X22*Irri_auto+E22*Irri_man),0),0)</f>
        <v>0</v>
      </c>
      <c r="AD22" s="39">
        <f ca="1">IF(((R22-AA22)/P22-((Wfc-Wwp)*Ze-Y22)/Ze)/Wfc*DiffE&lt;0,MAX(((R22-AA22)/P22-((Wfc-Wwp)*Ze-Y22)/Ze)/Wfc*DiffE,(R22*Ze-((Wfc-Wwp)*Ze-Y22-AA22)*P22)/(P22+Ze)-AA22),MIN(((R22-AA22)/P22-((Wfc-Wwp)*Ze-Y22)/Ze)/Wfc*DiffE,(R22*Ze-((Wfc-Wwp)*Ze-Y22-AA22)*P22)/(P22+Ze)-AA22))</f>
        <v>3.21588079013214e-9</v>
      </c>
      <c r="AE22" s="39">
        <f ca="1">IF(((R22-AA22)/P22-((Wfc-Wwp)*Ze-Z22)/Ze)/Wfc*DiffE&lt;0,MAX(((R22-AA22)/P22-((Wfc-Wwp)*Ze-Z22)/Ze)/Wfc*DiffE,(R22*Ze-((Wfc-Wwp)*Ze-Z22-AA22)*P22)/(P22+Ze)-AA22),MIN(((R22-AA22)/P22-((Wfc-Wwp)*Ze-Z22)/Ze)/Wfc*DiffE,(R22*Ze-((Wfc-Wwp)*Ze-Z22-AA22)*P22)/(P22+Ze)-AA22))</f>
        <v>-2.20767664399951e-8</v>
      </c>
      <c r="AF22" s="39">
        <f ca="1">IF(((S22-AB22)/Q22-(R22-AA22)/P22)/Wfc*DiffR&lt;0,MAX(((S22-AB22)/Q22-(R22-AA22)/P22)/Wfc*DiffR,(S22*P22-(R22-AA22-AB22)*Q22)/(P22+Q22)-AB22),MIN(((S22-AB22)/Q22-(R22-AA22)/P22)/Wfc*DiffR,(S22*P22-(R22-AA22-AB22)*Q22)/(P22+Q22)-AB22))</f>
        <v>1.91441751044435e-10</v>
      </c>
      <c r="AG22" s="99">
        <f ca="1">MIN(MAX(Y22+IF(AU22&gt;0,B22*AZ22/AU22,0)+BE22-AD22,0),TEW)</f>
        <v>6.88477807034615</v>
      </c>
      <c r="AH22" s="99">
        <f ca="1">MIN(MAX(Z22+IF(AV22&gt;0,B22*BA22/AV22,0)+BF22-AE22,0),TEW)</f>
        <v>5.44829287024512</v>
      </c>
      <c r="AI22" s="99">
        <f ca="1" t="shared" si="1"/>
        <v>9.69668685051682</v>
      </c>
      <c r="AJ22" s="99">
        <f ca="1" t="shared" si="2"/>
        <v>21.7930974950134</v>
      </c>
      <c r="AK22" s="70">
        <f ca="1">IF((AU22+AV22)&gt;0,(TEW-(AG22*AU22+AH22*AV22)/(AU22+AV22))/TEW,(TEW-(AG22+AH22)/2)/TEW)</f>
        <v>0.792157643159361</v>
      </c>
      <c r="AL22" s="70">
        <f ca="1" t="shared" si="3"/>
        <v>0.594568027368566</v>
      </c>
      <c r="AM22" s="70">
        <f ca="1" t="shared" si="4"/>
        <v>0.610049041212679</v>
      </c>
      <c r="AN22" s="70">
        <f ca="1">Wwp+(Wfc-Wwp)*IF((AU22+AV22)&gt;0,(TEW-(AG22*AU22+AH22*AV22)/(AU22+AV22))/TEW,(TEW-(AG22+AH22)/2)/TEW)</f>
        <v>0.372980493610717</v>
      </c>
      <c r="AO22" s="70">
        <f ca="1">Wwp+(Wfc-Wwp)*(R22-AI22)/R22</f>
        <v>0.347293843557914</v>
      </c>
      <c r="AP22" s="70">
        <f ca="1">Wwp+(Wfc-Wwp)*(S22-AJ22)/S22</f>
        <v>0.349306375357648</v>
      </c>
      <c r="AQ22" s="70"/>
      <c r="AR22" s="70"/>
      <c r="AS22" s="70"/>
      <c r="AT22" s="70"/>
      <c r="AU22" s="70">
        <f ca="1">MIN((1-G22),fw)</f>
        <v>0.874666666666667</v>
      </c>
      <c r="AV22" s="70">
        <f ca="1" t="shared" si="5"/>
        <v>0</v>
      </c>
      <c r="AW22" s="70">
        <f ca="1">MIN((TEW-Y22)/(TEW-REW),1)</f>
        <v>0.102275692665693</v>
      </c>
      <c r="AX22" s="70">
        <f ca="1">MIN((TEW-Z22)/(TEW-REW),1)</f>
        <v>0.107134866421453</v>
      </c>
      <c r="AY22" s="70">
        <f ca="1">IF((AU22*(TEW-Y22))&gt;0,1/(1+((AV22*(TEW-Z22))/(AU22*(TEW-Y22)))),0)</f>
        <v>1</v>
      </c>
      <c r="AZ22" s="70">
        <f ca="1">MIN((AY22*AW22*(Kcmax-H22)),AU22*Kcmax)</f>
        <v>0.103166761574087</v>
      </c>
      <c r="BA22" s="70">
        <f ca="1">MIN(((1-AY22)*AX22*(Kcmax-H22)),AV22*Kcmax)</f>
        <v>0</v>
      </c>
      <c r="BB22" s="70">
        <f ca="1" t="shared" si="6"/>
        <v>0.150313971613445</v>
      </c>
      <c r="BC22" s="70">
        <f ca="1">MIN((R22-AA22)/(R22*(1-(p+0.04*(5-I21)))),1)</f>
        <v>1</v>
      </c>
      <c r="BD22" s="10">
        <f ca="1" t="shared" si="7"/>
        <v>0.205856002377576</v>
      </c>
      <c r="BE22" s="70">
        <f ca="1">MIN(IF((1-AA22/R22)&gt;0,(1-Y22/TEW)/(1-AA22/R22)*(Ze/P22)^0.6,0),1)*BC22*H22*B22</f>
        <v>0.205856002377576</v>
      </c>
      <c r="BF22" s="70">
        <f ca="1">MIN(IF((1-AA22/R22)&gt;0,(1-Z22/TEW)/(1-AA22/R22)*(Ze/P22)^0.6,0),1)*BC22*H22*B22</f>
        <v>0.205856002377576</v>
      </c>
      <c r="BG22"/>
      <c r="BH22" s="10">
        <f ca="1" t="shared" si="8"/>
        <v>0.0234476864116381</v>
      </c>
      <c r="BI22" s="10">
        <f ca="1">IF(F22&lt;&gt;"",(Moy_Etobs-F22)^2,"")</f>
        <v>1.97635510020927</v>
      </c>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c r="A23" s="38">
        <v>39016</v>
      </c>
      <c r="B23" s="10">
        <v>1.645</v>
      </c>
      <c r="C23" s="39">
        <v>0.198</v>
      </c>
      <c r="D23">
        <v>0.244</v>
      </c>
      <c r="E23" s="39">
        <v>0</v>
      </c>
      <c r="F23"/>
      <c r="G23" s="10">
        <f ca="1">MIN(MAX(IF(AND(Durpla&gt;ROW()-MATCH(NDVImax,INDEX(D:D,Lig_min,1):INDEX(D:D,Lig_max,1),0)-Lig_min+1,ROW()-MATCH(NDVImax,INDEX(D:D,Lig_min,1):INDEX(D:D,Lig_max,1),0)-Lig_min+1&gt;0,D23*a_fc+b_fc&gt;fc_fin),NDVImax*a_fc+b_fc,D23*a_fc+b_fc),0),1)</f>
        <v>0.125333333333333</v>
      </c>
      <c r="H23" s="55">
        <f>MIN(MAX(D23*a_kcb+b_kcb,0),Kcmax)</f>
        <v>0.141287578845282</v>
      </c>
      <c r="I23" s="70">
        <f ca="1" t="shared" si="0"/>
        <v>0.400981610865076</v>
      </c>
      <c r="J23"/>
      <c r="K23"/>
      <c r="L23"/>
      <c r="M23"/>
      <c r="N23"/>
      <c r="O23" s="55"/>
      <c r="P23" s="35">
        <f ca="1">IF(ROW()-MATCH(NDVImax,INDEX(D:D,Lig_min,1):INDEX(D:D,Lig_max,1),0)-Lig_min+1&gt;0,MAX(MIN(Zr_min+MAX(INDEX(G:G,Lig_min,1):INDEX(G:G,Lig_max,1))/MAX(MAX(INDEX(G:G,Lig_min,1):INDEX(G:G,Lig_max,1)),Max_fc_pour_Zrmax)*(Zr_max-Zr_min),Zr_max),Ze+0.001),MAX(MIN(Zr_min+G23/MAX(MAX(INDEX(G:G,Lig_min,1):INDEX(G:G,Lig_max,1)),Max_fc_pour_Zrmax)*(Zr_max-Zr_min),Zr_max),Ze+0.001))</f>
        <v>183.976360734472</v>
      </c>
      <c r="Q23" s="35">
        <f ca="1">IF(Z_sol&gt;0,Z_sol-P23,0.1)</f>
        <v>429.898190329962</v>
      </c>
      <c r="R23" s="35">
        <f ca="1">(Wfc-Wwp)*P23</f>
        <v>23.9169268954814</v>
      </c>
      <c r="S23" s="35">
        <f ca="1">(Wfc-Wwp)*Q23</f>
        <v>55.886764742895</v>
      </c>
      <c r="T23" s="99">
        <f ca="1" t="shared" si="9"/>
        <v>6.88477807034615</v>
      </c>
      <c r="U23" s="99">
        <f ca="1" t="shared" si="10"/>
        <v>5.44829287024512</v>
      </c>
      <c r="V23" s="99">
        <f ca="1">IF(P23&gt;P22,IF(Q23&gt;1,MAX(AI22+(Wfc-Wwp)*(P23-P22)*AJ22/S22,0),AI22/P22*P23),MAX(AI22+(Wfc-Wwp)*(P23-P22)*AI22/R22,0))</f>
        <v>9.69668685051682</v>
      </c>
      <c r="W23" s="99">
        <f ca="1">IF(S23&gt;1,IF(P23&gt;P22,MAX(AJ22-(Wfc-Wwp)*(P23-P22)*AJ22/S22,0),MAX(AJ22-(Wfc-Wwp)*(P23-P22)*AI22/R22,0)),0)</f>
        <v>21.7930974950134</v>
      </c>
      <c r="X23" s="99">
        <f ca="1">IF(AND(OR(AND(dec_vide_TAW&lt;0,V23&gt;R23*(p+0.04*(5-I22))),AND(dec_vide_TAW&gt;0,V23&gt;R23*dec_vide_TAW)),H23&gt;MAX(INDEX(H:H,Lig_min,1):INDEX(H:H,ROW(X23),1))*Kcbmax_stop_irrig*IF(ROW(X23)-lig_kcbmax&gt;0,1,0),MIN(INDEX(H:H,ROW(X23),1):INDEX(H:H,lig_kcbmax,1))&gt;Kcbmin_start_irrig),MIN(MAX(V23-E23*Irri_man-C23,0),Lame_max),0)</f>
        <v>0</v>
      </c>
      <c r="Y23" s="99">
        <f ca="1">MIN(MAX(T23-C23-IF(fw&gt;0,X23/fw*Irri_auto+E23/fw*Irri_man,0),0),TEW)</f>
        <v>6.68677807034615</v>
      </c>
      <c r="Z23" s="99">
        <f ca="1">MIN(MAX(U23-C23,0),TEW)</f>
        <v>5.25029287024512</v>
      </c>
      <c r="AA23" s="99">
        <f ca="1">MIN(MAX(V23-C23-(X23*Irri_auto+E23*Irri_man),0),R23)</f>
        <v>9.49868685051682</v>
      </c>
      <c r="AB23" s="99">
        <f ca="1">MIN(MAX(W23+MIN(V23-C23-(X23*Irri_auto+E23*Irri_man),0),0),S23)</f>
        <v>21.7930974950134</v>
      </c>
      <c r="AC23" s="99">
        <f ca="1">-MIN(W23+MIN(V23-C23-(X23*Irri_auto+E23*Irri_man),0),0)</f>
        <v>0</v>
      </c>
      <c r="AD23" s="39">
        <f ca="1">IF(((R23-AA23)/P23-((Wfc-Wwp)*Ze-Y23)/Ze)/Wfc*DiffE&lt;0,MAX(((R23-AA23)/P23-((Wfc-Wwp)*Ze-Y23)/Ze)/Wfc*DiffE,(R23*Ze-((Wfc-Wwp)*Ze-Y23-AA23)*P23)/(P23+Ze)-AA23),MIN(((R23-AA23)/P23-((Wfc-Wwp)*Ze-Y23)/Ze)/Wfc*DiffE,(R23*Ze-((Wfc-Wwp)*Ze-Y23-AA23)*P23)/(P23+Ze)-AA23))</f>
        <v>4.66073336113426e-9</v>
      </c>
      <c r="AE23" s="39">
        <f ca="1">IF(((R23-AA23)/P23-((Wfc-Wwp)*Ze-Z23)/Ze)/Wfc*DiffE&lt;0,MAX(((R23-AA23)/P23-((Wfc-Wwp)*Ze-Z23)/Ze)/Wfc*DiffE,(R23*Ze-((Wfc-Wwp)*Ze-Z23-AA23)*P23)/(P23+Ze)-AA23),MIN(((R23-AA23)/P23-((Wfc-Wwp)*Ze-Z23)/Ze)/Wfc*DiffE,(R23*Ze-((Wfc-Wwp)*Ze-Z23-AA23)*P23)/(P23+Ze)-AA23))</f>
        <v>-2.40689706408865e-8</v>
      </c>
      <c r="AF23" s="39">
        <f ca="1">IF(((S23-AB23)/Q23-(R23-AA23)/P23)/Wfc*DiffR&lt;0,MAX(((S23-AB23)/Q23-(R23-AA23)/P23)/Wfc*DiffR,(S23*P23-(R23-AA23-AB23)*Q23)/(P23+Q23)-AB23),MIN(((S23-AB23)/Q23-(R23-AA23)/P23)/Wfc*DiffR,(S23*P23-(R23-AA23-AB23)*Q23)/(P23+Q23)-AB23))</f>
        <v>2.3407664399094e-9</v>
      </c>
      <c r="AG23" s="99">
        <f ca="1">MIN(MAX(Y23+IF(AU23&gt;0,B23*AZ23/AU23,0)+BE23-AD23,0),TEW)</f>
        <v>7.11191359896585</v>
      </c>
      <c r="AH23" s="99">
        <f ca="1">MIN(MAX(Z23+IF(AV23&gt;0,B23*BA23/AV23,0)+BF23-AE23,0),TEW)</f>
        <v>5.48271096151458</v>
      </c>
      <c r="AI23" s="99">
        <f ca="1" t="shared" si="1"/>
        <v>9.89966845904113</v>
      </c>
      <c r="AJ23" s="99">
        <f ca="1" t="shared" si="2"/>
        <v>21.7930974973541</v>
      </c>
      <c r="AK23" s="70">
        <f ca="1">IF((AU23+AV23)&gt;0,(TEW-(AG23*AU23+AH23*AV23)/(AU23+AV23))/TEW,(TEW-(AG23+AH23)/2)/TEW)</f>
        <v>0.785300721540654</v>
      </c>
      <c r="AL23" s="70">
        <f ca="1" t="shared" si="3"/>
        <v>0.586081083815519</v>
      </c>
      <c r="AM23" s="70">
        <f ca="1" t="shared" si="4"/>
        <v>0.610049041170795</v>
      </c>
      <c r="AN23" s="70">
        <f ca="1">Wwp+(Wfc-Wwp)*IF((AU23+AV23)&gt;0,(TEW-(AG23*AU23+AH23*AV23)/(AU23+AV23))/TEW,(TEW-(AG23+AH23)/2)/TEW)</f>
        <v>0.372089093800285</v>
      </c>
      <c r="AO23" s="70">
        <f ca="1">Wwp+(Wfc-Wwp)*(R23-AI23)/R23</f>
        <v>0.346190540896018</v>
      </c>
      <c r="AP23" s="70">
        <f ca="1">Wwp+(Wfc-Wwp)*(S23-AJ23)/S23</f>
        <v>0.349306375352203</v>
      </c>
      <c r="AQ23" s="70"/>
      <c r="AR23" s="70"/>
      <c r="AS23" s="70"/>
      <c r="AT23" s="70"/>
      <c r="AU23" s="70">
        <f ca="1">MIN((1-G23),fw)</f>
        <v>0.874666666666667</v>
      </c>
      <c r="AV23" s="70">
        <f ca="1" t="shared" si="5"/>
        <v>0</v>
      </c>
      <c r="AW23" s="70">
        <f ca="1">MIN((TEW-Y23)/(TEW-REW),1)</f>
        <v>0.101585186382931</v>
      </c>
      <c r="AX23" s="70">
        <f ca="1">MIN((TEW-Z23)/(TEW-REW),1)</f>
        <v>0.107104680741396</v>
      </c>
      <c r="AY23" s="70">
        <f ca="1">IF((AU23*(TEW-Y23))&gt;0,1/(1+((AV23*(TEW-Z23))/(AU23*(TEW-Y23)))),0)</f>
        <v>1</v>
      </c>
      <c r="AZ23" s="70">
        <f ca="1">MIN((AY23*AW23*(Kcmax-H23)),AU23*Kcmax)</f>
        <v>0.102470239309779</v>
      </c>
      <c r="BA23" s="70">
        <f ca="1">MIN(((1-AY23)*AX23*(Kcmax-H23)),AV23*Kcmax)</f>
        <v>0</v>
      </c>
      <c r="BB23" s="70">
        <f ca="1" t="shared" si="6"/>
        <v>0.168563543664587</v>
      </c>
      <c r="BC23" s="70">
        <f ca="1">MIN((R23-AA23)/(R23*(1-(p+0.04*(5-I22)))),1)</f>
        <v>1</v>
      </c>
      <c r="BD23" s="10">
        <f ca="1" t="shared" si="7"/>
        <v>0.232418067200489</v>
      </c>
      <c r="BE23" s="70">
        <f ca="1">MIN(IF((1-AA23/R23)&gt;0,(1-Y23/TEW)/(1-AA23/R23)*(Ze/P23)^0.6,0),1)*BC23*H23*B23</f>
        <v>0.232418067200489</v>
      </c>
      <c r="BF23" s="70">
        <f ca="1">MIN(IF((1-AA23/R23)&gt;0,(1-Z23/TEW)/(1-AA23/R23)*(Ze/P23)^0.6,0),1)*BC23*H23*B23</f>
        <v>0.232418067200489</v>
      </c>
      <c r="BG23"/>
      <c r="BH23" s="10" t="str">
        <f ca="1" t="shared" si="8"/>
        <v/>
      </c>
      <c r="BI23" s="10" t="str">
        <f ca="1">IF(F23&lt;&gt;"",(Moy_Etobs-F23)^2,"")</f>
        <v/>
      </c>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c r="A24" s="38">
        <v>39017</v>
      </c>
      <c r="B24" s="10">
        <v>1.364</v>
      </c>
      <c r="C24" s="39">
        <v>0.198</v>
      </c>
      <c r="D24">
        <v>0.244</v>
      </c>
      <c r="E24" s="39">
        <v>0</v>
      </c>
      <c r="F24"/>
      <c r="G24" s="10">
        <f ca="1">MIN(MAX(IF(AND(Durpla&gt;ROW()-MATCH(NDVImax,INDEX(D:D,Lig_min,1):INDEX(D:D,Lig_max,1),0)-Lig_min+1,ROW()-MATCH(NDVImax,INDEX(D:D,Lig_min,1):INDEX(D:D,Lig_max,1),0)-Lig_min+1&gt;0,D24*a_fc+b_fc&gt;fc_fin),NDVImax*a_fc+b_fc,D24*a_fc+b_fc),0),1)</f>
        <v>0.125333333333333</v>
      </c>
      <c r="H24" s="55">
        <f>MIN(MAX(D24*a_kcb+b_kcb,0),Kcmax)</f>
        <v>0.141287578845282</v>
      </c>
      <c r="I24" s="70">
        <f ca="1" t="shared" si="0"/>
        <v>0.331284879807285</v>
      </c>
      <c r="J24"/>
      <c r="K24"/>
      <c r="L24"/>
      <c r="M24"/>
      <c r="N24"/>
      <c r="O24" s="55"/>
      <c r="P24" s="35">
        <f ca="1">IF(ROW()-MATCH(NDVImax,INDEX(D:D,Lig_min,1):INDEX(D:D,Lig_max,1),0)-Lig_min+1&gt;0,MAX(MIN(Zr_min+MAX(INDEX(G:G,Lig_min,1):INDEX(G:G,Lig_max,1))/MAX(MAX(INDEX(G:G,Lig_min,1):INDEX(G:G,Lig_max,1)),Max_fc_pour_Zrmax)*(Zr_max-Zr_min),Zr_max),Ze+0.001),MAX(MIN(Zr_min+G24/MAX(MAX(INDEX(G:G,Lig_min,1):INDEX(G:G,Lig_max,1)),Max_fc_pour_Zrmax)*(Zr_max-Zr_min),Zr_max),Ze+0.001))</f>
        <v>183.976360734472</v>
      </c>
      <c r="Q24" s="35">
        <f ca="1">IF(Z_sol&gt;0,Z_sol-P24,0.1)</f>
        <v>429.898190329962</v>
      </c>
      <c r="R24" s="35">
        <f ca="1">(Wfc-Wwp)*P24</f>
        <v>23.9169268954814</v>
      </c>
      <c r="S24" s="35">
        <f ca="1">(Wfc-Wwp)*Q24</f>
        <v>55.886764742895</v>
      </c>
      <c r="T24" s="99">
        <f ca="1" t="shared" si="9"/>
        <v>7.11191359896585</v>
      </c>
      <c r="U24" s="99">
        <f ca="1" t="shared" si="10"/>
        <v>5.48271096151458</v>
      </c>
      <c r="V24" s="99">
        <f ca="1">IF(P24&gt;P23,IF(Q24&gt;1,MAX(AI23+(Wfc-Wwp)*(P24-P23)*AJ23/S23,0),AI23/P23*P24),MAX(AI23+(Wfc-Wwp)*(P24-P23)*AI23/R23,0))</f>
        <v>9.89966845904113</v>
      </c>
      <c r="W24" s="99">
        <f ca="1">IF(S24&gt;1,IF(P24&gt;P23,MAX(AJ23-(Wfc-Wwp)*(P24-P23)*AJ23/S23,0),MAX(AJ23-(Wfc-Wwp)*(P24-P23)*AI23/R23,0)),0)</f>
        <v>21.7930974973541</v>
      </c>
      <c r="X24" s="99">
        <f ca="1">IF(AND(OR(AND(dec_vide_TAW&lt;0,V24&gt;R24*(p+0.04*(5-I23))),AND(dec_vide_TAW&gt;0,V24&gt;R24*dec_vide_TAW)),H24&gt;MAX(INDEX(H:H,Lig_min,1):INDEX(H:H,ROW(X24),1))*Kcbmax_stop_irrig*IF(ROW(X24)-lig_kcbmax&gt;0,1,0),MIN(INDEX(H:H,ROW(X24),1):INDEX(H:H,lig_kcbmax,1))&gt;Kcbmin_start_irrig),MIN(MAX(V24-E24*Irri_man-C24,0),Lame_max),0)</f>
        <v>0</v>
      </c>
      <c r="Y24" s="99">
        <f ca="1">MIN(MAX(T24-C24-IF(fw&gt;0,X24/fw*Irri_auto+E24/fw*Irri_man,0),0),TEW)</f>
        <v>6.91391359896585</v>
      </c>
      <c r="Z24" s="99">
        <f ca="1">MIN(MAX(U24-C24,0),TEW)</f>
        <v>5.28471096151458</v>
      </c>
      <c r="AA24" s="99">
        <f ca="1">MIN(MAX(V24-C24-(X24*Irri_auto+E24*Irri_man),0),R24)</f>
        <v>9.70166845904113</v>
      </c>
      <c r="AB24" s="99">
        <f ca="1">MIN(MAX(W24+MIN(V24-C24-(X24*Irri_auto+E24*Irri_man),0),0),S24)</f>
        <v>21.7930974973541</v>
      </c>
      <c r="AC24" s="99">
        <f ca="1">-MIN(W24+MIN(V24-C24-(X24*Irri_auto+E24*Irri_man),0),0)</f>
        <v>0</v>
      </c>
      <c r="AD24" s="39">
        <f ca="1">IF(((R24-AA24)/P24-((Wfc-Wwp)*Ze-Y24)/Ze)/Wfc*DiffE&lt;0,MAX(((R24-AA24)/P24-((Wfc-Wwp)*Ze-Y24)/Ze)/Wfc*DiffE,(R24*Ze-((Wfc-Wwp)*Ze-Y24-AA24)*P24)/(P24+Ze)-AA24),MIN(((R24-AA24)/P24-((Wfc-Wwp)*Ze-Y24)/Ze)/Wfc*DiffE,(R24*Ze-((Wfc-Wwp)*Ze-Y24-AA24)*P24)/(P24+Ze)-AA24))</f>
        <v>6.44518727878778e-9</v>
      </c>
      <c r="AE24" s="39">
        <f ca="1">IF(((R24-AA24)/P24-((Wfc-Wwp)*Ze-Z24)/Ze)/Wfc*DiffE&lt;0,MAX(((R24-AA24)/P24-((Wfc-Wwp)*Ze-Z24)/Ze)/Wfc*DiffE,(R24*Ze-((Wfc-Wwp)*Ze-Z24-AA24)*P24)/(P24+Ze)-AA24),MIN(((R24-AA24)/P24-((Wfc-Wwp)*Ze-Z24)/Ze)/Wfc*DiffE,(R24*Ze-((Wfc-Wwp)*Ze-Z24-AA24)*P24)/(P24+Ze)-AA24))</f>
        <v>-2.61388654702377e-8</v>
      </c>
      <c r="AF24" s="39">
        <f ca="1">IF(((S24-AB24)/Q24-(R24-AA24)/P24)/Wfc*DiffR&lt;0,MAX(((S24-AB24)/Q24-(R24-AA24)/P24)/Wfc*DiffR,(S24*P24-(R24-AA24-AB24)*Q24)/(P24+Q24)-AB24),MIN(((S24-AB24)/Q24-(R24-AA24)/P24)/Wfc*DiffR,(S24*P24-(R24-AA24-AB24)*Q24)/(P24+Q24)-AB24))</f>
        <v>5.09902308103747e-9</v>
      </c>
      <c r="AG24" s="99">
        <f ca="1">MIN(MAX(Y24+IF(AU24&gt;0,B24*AZ24/AU24,0)+BE24-AD24,0),TEW)</f>
        <v>7.26505434198139</v>
      </c>
      <c r="AH24" s="99">
        <f ca="1">MIN(MAX(Z24+IF(AV24&gt;0,B24*BA24/AV24,0)+BF24-AE24,0),TEW)</f>
        <v>5.47742724519841</v>
      </c>
      <c r="AI24" s="99">
        <f ca="1" t="shared" si="1"/>
        <v>10.0329533337494</v>
      </c>
      <c r="AJ24" s="99">
        <f ca="1" t="shared" si="2"/>
        <v>21.7930975024532</v>
      </c>
      <c r="AK24" s="70">
        <f ca="1">IF((AU24+AV24)&gt;0,(TEW-(AG24*AU24+AH24*AV24)/(AU24+AV24))/TEW,(TEW-(AG24+AH24)/2)/TEW)</f>
        <v>0.780677604770373</v>
      </c>
      <c r="AL24" s="70">
        <f ca="1" t="shared" si="3"/>
        <v>0.580508257704091</v>
      </c>
      <c r="AM24" s="70">
        <f ca="1" t="shared" si="4"/>
        <v>0.610049041079556</v>
      </c>
      <c r="AN24" s="70">
        <f ca="1">Wwp+(Wfc-Wwp)*IF((AU24+AV24)&gt;0,(TEW-(AG24*AU24+AH24*AV24)/(AU24+AV24))/TEW,(TEW-(AG24+AH24)/2)/TEW)</f>
        <v>0.371488088620149</v>
      </c>
      <c r="AO24" s="70">
        <f ca="1">Wwp+(Wfc-Wwp)*(R24-AI24)/R24</f>
        <v>0.345466073501532</v>
      </c>
      <c r="AP24" s="70">
        <f ca="1">Wwp+(Wfc-Wwp)*(S24-AJ24)/S24</f>
        <v>0.349306375340342</v>
      </c>
      <c r="AQ24" s="70"/>
      <c r="AR24" s="70"/>
      <c r="AS24" s="70"/>
      <c r="AT24" s="70"/>
      <c r="AU24" s="70">
        <f ca="1">MIN((1-G24),fw)</f>
        <v>0.874666666666667</v>
      </c>
      <c r="AV24" s="70">
        <f ca="1" t="shared" si="5"/>
        <v>0</v>
      </c>
      <c r="AW24" s="70">
        <f ca="1">MIN((TEW-Y24)/(TEW-REW),1)</f>
        <v>0.100712449741624</v>
      </c>
      <c r="AX24" s="70">
        <f ca="1">MIN((TEW-Z24)/(TEW-REW),1)</f>
        <v>0.10697243401823</v>
      </c>
      <c r="AY24" s="70">
        <f ca="1">IF((AU24*(TEW-Y24))&gt;0,1/(1+((AV24*(TEW-Z24))/(AU24*(TEW-Y24)))),0)</f>
        <v>1</v>
      </c>
      <c r="AZ24" s="70">
        <f ca="1">MIN((AY24*AW24*(Kcmax-H24)),AU24*Kcmax)</f>
        <v>0.101589899019296</v>
      </c>
      <c r="BA24" s="70">
        <f ca="1">MIN(((1-AY24)*AX24*(Kcmax-H24)),AV24*Kcmax)</f>
        <v>0</v>
      </c>
      <c r="BB24" s="70">
        <f ca="1" t="shared" si="6"/>
        <v>0.13856862226232</v>
      </c>
      <c r="BC24" s="70">
        <f ca="1">MIN((R24-AA24)/(R24*(1-(p+0.04*(5-I23)))),1)</f>
        <v>1</v>
      </c>
      <c r="BD24" s="10">
        <f ca="1" t="shared" si="7"/>
        <v>0.192716257544965</v>
      </c>
      <c r="BE24" s="70">
        <f ca="1">MIN(IF((1-AA24/R24)&gt;0,(1-Y24/TEW)/(1-AA24/R24)*(Ze/P24)^0.6,0),1)*BC24*H24*B24</f>
        <v>0.192716257544965</v>
      </c>
      <c r="BF24" s="70">
        <f ca="1">MIN(IF((1-AA24/R24)&gt;0,(1-Z24/TEW)/(1-AA24/R24)*(Ze/P24)^0.6,0),1)*BC24*H24*B24</f>
        <v>0.192716257544965</v>
      </c>
      <c r="BG24"/>
      <c r="BH24" s="10" t="str">
        <f ca="1" t="shared" si="8"/>
        <v/>
      </c>
      <c r="BI24" s="10" t="str">
        <f ca="1">IF(F24&lt;&gt;"",(Moy_Etobs-F24)^2,"")</f>
        <v/>
      </c>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c r="A25" s="38">
        <v>39018</v>
      </c>
      <c r="B25" s="10">
        <v>1.514</v>
      </c>
      <c r="C25" s="39">
        <v>0</v>
      </c>
      <c r="D25">
        <v>0.243</v>
      </c>
      <c r="E25" s="39">
        <v>0</v>
      </c>
      <c r="F25" s="10">
        <v>0.2209878</v>
      </c>
      <c r="G25" s="10">
        <f ca="1">MIN(MAX(IF(AND(Durpla&gt;ROW()-MATCH(NDVImax,INDEX(D:D,Lig_min,1):INDEX(D:D,Lig_max,1),0)-Lig_min+1,ROW()-MATCH(NDVImax,INDEX(D:D,Lig_min,1):INDEX(D:D,Lig_max,1),0)-Lig_min+1&gt;0,D25*a_fc+b_fc&gt;fc_fin),NDVImax*a_fc+b_fc,D25*a_fc+b_fc),0),1)</f>
        <v>0.124</v>
      </c>
      <c r="H25" s="55">
        <f>MIN(MAX(D25*a_kcb+b_kcb,0),Kcmax)</f>
        <v>0.139784519495864</v>
      </c>
      <c r="I25" s="70">
        <f ca="1" t="shared" si="0"/>
        <v>0.36360648385004</v>
      </c>
      <c r="J25"/>
      <c r="K25"/>
      <c r="L25"/>
      <c r="M25"/>
      <c r="N25"/>
      <c r="O25" s="55"/>
      <c r="P25" s="35">
        <f ca="1">IF(ROW()-MATCH(NDVImax,INDEX(D:D,Lig_min,1):INDEX(D:D,Lig_max,1),0)-Lig_min+1&gt;0,MAX(MIN(Zr_min+MAX(INDEX(G:G,Lig_min,1):INDEX(G:G,Lig_max,1))/MAX(MAX(INDEX(G:G,Lig_min,1):INDEX(G:G,Lig_max,1)),Max_fc_pour_Zrmax)*(Zr_max-Zr_min),Zr_max),Ze+0.001),MAX(MIN(Zr_min+G25/MAX(MAX(INDEX(G:G,Lig_min,1):INDEX(G:G,Lig_max,1)),Max_fc_pour_Zrmax)*(Zr_max-Zr_min),Zr_max),Ze+0.001))</f>
        <v>183.348952641553</v>
      </c>
      <c r="Q25" s="35">
        <f ca="1">IF(Z_sol&gt;0,Z_sol-P25,0.1)</f>
        <v>430.525598422882</v>
      </c>
      <c r="R25" s="35">
        <f ca="1">(Wfc-Wwp)*P25</f>
        <v>23.8353638434018</v>
      </c>
      <c r="S25" s="35">
        <f ca="1">(Wfc-Wwp)*Q25</f>
        <v>55.9683277949746</v>
      </c>
      <c r="T25" s="99">
        <f ca="1" t="shared" si="9"/>
        <v>7.26505434198139</v>
      </c>
      <c r="U25" s="99">
        <f ca="1" t="shared" si="10"/>
        <v>5.47742724519841</v>
      </c>
      <c r="V25" s="99">
        <f ca="1">IF(P25&gt;P24,IF(Q25&gt;1,MAX(AI24+(Wfc-Wwp)*(P25-P24)*AJ24/S24,0),AI24/P24*P25),MAX(AI24+(Wfc-Wwp)*(P25-P24)*AI24/R24,0))</f>
        <v>9.99873830692555</v>
      </c>
      <c r="W25" s="99">
        <f ca="1">IF(S25&gt;1,IF(P25&gt;P24,MAX(AJ24-(Wfc-Wwp)*(P25-P24)*AJ24/S24,0),MAX(AJ24-(Wfc-Wwp)*(P25-P24)*AI24/R24,0)),0)</f>
        <v>21.827312529277</v>
      </c>
      <c r="X25" s="99">
        <f ca="1">IF(AND(OR(AND(dec_vide_TAW&lt;0,V25&gt;R25*(p+0.04*(5-I24))),AND(dec_vide_TAW&gt;0,V25&gt;R25*dec_vide_TAW)),H25&gt;MAX(INDEX(H:H,Lig_min,1):INDEX(H:H,ROW(X25),1))*Kcbmax_stop_irrig*IF(ROW(X25)-lig_kcbmax&gt;0,1,0),MIN(INDEX(H:H,ROW(X25),1):INDEX(H:H,lig_kcbmax,1))&gt;Kcbmin_start_irrig),MIN(MAX(V25-E25*Irri_man-C25,0),Lame_max),0)</f>
        <v>0</v>
      </c>
      <c r="Y25" s="99">
        <f ca="1">MIN(MAX(T25-C25-IF(fw&gt;0,X25/fw*Irri_auto+E25/fw*Irri_man,0),0),TEW)</f>
        <v>7.26505434198139</v>
      </c>
      <c r="Z25" s="99">
        <f ca="1">MIN(MAX(U25-C25,0),TEW)</f>
        <v>5.47742724519841</v>
      </c>
      <c r="AA25" s="99">
        <f ca="1">MIN(MAX(V25-C25-(X25*Irri_auto+E25*Irri_man),0),R25)</f>
        <v>9.99873830692555</v>
      </c>
      <c r="AB25" s="99">
        <f ca="1">MIN(MAX(W25+MIN(V25-C25-(X25*Irri_auto+E25*Irri_man),0),0),S25)</f>
        <v>21.827312529277</v>
      </c>
      <c r="AC25" s="99">
        <f ca="1">-MIN(W25+MIN(V25-C25-(X25*Irri_auto+E25*Irri_man),0),0)</f>
        <v>0</v>
      </c>
      <c r="AD25" s="39">
        <f ca="1">IF(((R25-AA25)/P25-((Wfc-Wwp)*Ze-Y25)/Ze)/Wfc*DiffE&lt;0,MAX(((R25-AA25)/P25-((Wfc-Wwp)*Ze-Y25)/Ze)/Wfc*DiffE,(R25*Ze-((Wfc-Wwp)*Ze-Y25-AA25)*P25)/(P25+Ze)-AA25),MIN(((R25-AA25)/P25-((Wfc-Wwp)*Ze-Y25)/Ze)/Wfc*DiffE,(R25*Ze-((Wfc-Wwp)*Ze-Y25-AA25)*P25)/(P25+Ze)-AA25))</f>
        <v>8.96627059345727e-9</v>
      </c>
      <c r="AE25" s="39">
        <f ca="1">IF(((R25-AA25)/P25-((Wfc-Wwp)*Ze-Z25)/Ze)/Wfc*DiffE&lt;0,MAX(((R25-AA25)/P25-((Wfc-Wwp)*Ze-Z25)/Ze)/Wfc*DiffE,(R25*Ze-((Wfc-Wwp)*Ze-Z25-AA25)*P25)/(P25+Ze)-AA25),MIN(((R25-AA25)/P25-((Wfc-Wwp)*Ze-Z25)/Ze)/Wfc*DiffE,(R25*Ze-((Wfc-Wwp)*Ze-Z25-AA25)*P25)/(P25+Ze)-AA25))</f>
        <v>-2.67862713422024e-8</v>
      </c>
      <c r="AF25" s="39">
        <f ca="1">IF(((S25-AB25)/Q25-(R25-AA25)/P25)/Wfc*DiffR&lt;0,MAX(((S25-AB25)/Q25-(R25-AA25)/P25)/Wfc*DiffR,(S25*P25-(R25-AA25-AB25)*Q25)/(P25+Q25)-AB25),MIN(((S25-AB25)/Q25-(R25-AA25)/P25)/Wfc*DiffR,(S25*P25-(R25-AA25-AB25)*Q25)/(P25+Q25)-AB25))</f>
        <v>9.58676334736678e-9</v>
      </c>
      <c r="AG25" s="99">
        <f ca="1">MIN(MAX(Y25+IF(AU25&gt;0,B25*AZ25/AU25,0)+BE25-AD25,0),TEW)</f>
        <v>7.65017293723654</v>
      </c>
      <c r="AH25" s="99">
        <f ca="1">MIN(MAX(Z25+IF(AV25&gt;0,B25*BA25/AV25,0)+BF25-AE25,0),TEW)</f>
        <v>5.68906103450142</v>
      </c>
      <c r="AI25" s="99">
        <f ca="1" t="shared" si="1"/>
        <v>10.3623447811888</v>
      </c>
      <c r="AJ25" s="99">
        <f ca="1" t="shared" si="2"/>
        <v>21.8273125388638</v>
      </c>
      <c r="AK25" s="70">
        <f ca="1">IF((AU25+AV25)&gt;0,(TEW-(AG25*AU25+AH25*AV25)/(AU25+AV25))/TEW,(TEW-(AG25+AH25)/2)/TEW)</f>
        <v>0.769051383026821</v>
      </c>
      <c r="AL25" s="70">
        <f ca="1" t="shared" si="3"/>
        <v>0.565253341662021</v>
      </c>
      <c r="AM25" s="70">
        <f ca="1" t="shared" si="4"/>
        <v>0.610005990909315</v>
      </c>
      <c r="AN25" s="70">
        <f ca="1">Wwp+(Wfc-Wwp)*IF((AU25+AV25)&gt;0,(TEW-(AG25*AU25+AH25*AV25)/(AU25+AV25))/TEW,(TEW-(AG25+AH25)/2)/TEW)</f>
        <v>0.369976679793487</v>
      </c>
      <c r="AO25" s="70">
        <f ca="1">Wwp+(Wfc-Wwp)*(R25-AI25)/R25</f>
        <v>0.343482934416063</v>
      </c>
      <c r="AP25" s="70">
        <f ca="1">Wwp+(Wfc-Wwp)*(S25-AJ25)/S25</f>
        <v>0.349300778818211</v>
      </c>
      <c r="AQ25" s="70"/>
      <c r="AR25" s="70"/>
      <c r="AS25" s="70"/>
      <c r="AT25" s="70"/>
      <c r="AU25" s="70">
        <f ca="1">MIN((1-G25),fw)</f>
        <v>0.876</v>
      </c>
      <c r="AV25" s="70">
        <f ca="1" t="shared" si="5"/>
        <v>0</v>
      </c>
      <c r="AW25" s="70">
        <f ca="1">MIN((TEW-Y25)/(TEW-REW),1)</f>
        <v>0.0993632403310671</v>
      </c>
      <c r="AX25" s="70">
        <f ca="1">MIN((TEW-Z25)/(TEW-REW),1)</f>
        <v>0.106231948532892</v>
      </c>
      <c r="AY25" s="70">
        <f ca="1">IF((AU25*(TEW-Y25))&gt;0,1/(1+((AV25*(TEW-Z25))/(AU25*(TEW-Y25)))),0)</f>
        <v>1</v>
      </c>
      <c r="AZ25" s="70">
        <f ca="1">MIN((AY25*AW25*(Kcmax-H25)),AU25*Kcmax)</f>
        <v>0.100378283575497</v>
      </c>
      <c r="BA25" s="70">
        <f ca="1">MIN(((1-AY25)*AX25*(Kcmax-H25)),AV25*Kcmax)</f>
        <v>0</v>
      </c>
      <c r="BB25" s="70">
        <f ca="1" t="shared" si="6"/>
        <v>0.151972721333302</v>
      </c>
      <c r="BC25" s="70">
        <f ca="1">MIN((R25-AA25)/(R25*(1-(p+0.04*(5-I24)))),1)</f>
        <v>1</v>
      </c>
      <c r="BD25" s="10">
        <f ca="1" t="shared" si="7"/>
        <v>0.211633762516738</v>
      </c>
      <c r="BE25" s="70">
        <f ca="1">MIN(IF((1-AA25/R25)&gt;0,(1-Y25/TEW)/(1-AA25/R25)*(Ze/P25)^0.6,0),1)*BC25*H25*B25</f>
        <v>0.211633762516738</v>
      </c>
      <c r="BF25" s="70">
        <f ca="1">MIN(IF((1-AA25/R25)&gt;0,(1-Z25/TEW)/(1-AA25/R25)*(Ze/P25)^0.6,0),1)*BC25*H25*B25</f>
        <v>0.211633762516738</v>
      </c>
      <c r="BG25"/>
      <c r="BH25" s="10">
        <f ca="1" t="shared" si="8"/>
        <v>0.0203400889831178</v>
      </c>
      <c r="BI25" s="10">
        <f ca="1">IF(F25&lt;&gt;"",(Moy_Etobs-F25)^2,"")</f>
        <v>1.92622414202256</v>
      </c>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c r="A26" s="38">
        <v>39019</v>
      </c>
      <c r="B26" s="10">
        <v>1.393</v>
      </c>
      <c r="C26" s="39">
        <v>0.198</v>
      </c>
      <c r="D26">
        <v>0.243</v>
      </c>
      <c r="E26" s="39">
        <v>0</v>
      </c>
      <c r="F26" s="10">
        <v>0.2742822</v>
      </c>
      <c r="G26" s="10">
        <f ca="1">MIN(MAX(IF(AND(Durpla&gt;ROW()-MATCH(NDVImax,INDEX(D:D,Lig_min,1):INDEX(D:D,Lig_max,1),0)-Lig_min+1,ROW()-MATCH(NDVImax,INDEX(D:D,Lig_min,1):INDEX(D:D,Lig_max,1),0)-Lig_min+1&gt;0,D26*a_fc+b_fc&gt;fc_fin),NDVImax*a_fc+b_fc,D26*a_fc+b_fc),0),1)</f>
        <v>0.124</v>
      </c>
      <c r="H26" s="55">
        <f>MIN(MAX(D26*a_kcb+b_kcb,0),Kcmax)</f>
        <v>0.139784519495864</v>
      </c>
      <c r="I26" s="70">
        <f ca="1" t="shared" si="0"/>
        <v>0.333535018349676</v>
      </c>
      <c r="J26"/>
      <c r="K26"/>
      <c r="L26"/>
      <c r="M26"/>
      <c r="N26"/>
      <c r="O26" s="55"/>
      <c r="P26" s="35">
        <f ca="1">IF(ROW()-MATCH(NDVImax,INDEX(D:D,Lig_min,1):INDEX(D:D,Lig_max,1),0)-Lig_min+1&gt;0,MAX(MIN(Zr_min+MAX(INDEX(G:G,Lig_min,1):INDEX(G:G,Lig_max,1))/MAX(MAX(INDEX(G:G,Lig_min,1):INDEX(G:G,Lig_max,1)),Max_fc_pour_Zrmax)*(Zr_max-Zr_min),Zr_max),Ze+0.001),MAX(MIN(Zr_min+G26/MAX(MAX(INDEX(G:G,Lig_min,1):INDEX(G:G,Lig_max,1)),Max_fc_pour_Zrmax)*(Zr_max-Zr_min),Zr_max),Ze+0.001))</f>
        <v>183.348952641553</v>
      </c>
      <c r="Q26" s="35">
        <f ca="1">IF(Z_sol&gt;0,Z_sol-P26,0.1)</f>
        <v>430.525598422882</v>
      </c>
      <c r="R26" s="35">
        <f ca="1">(Wfc-Wwp)*P26</f>
        <v>23.8353638434018</v>
      </c>
      <c r="S26" s="35">
        <f ca="1">(Wfc-Wwp)*Q26</f>
        <v>55.9683277949746</v>
      </c>
      <c r="T26" s="99">
        <f ca="1" t="shared" si="9"/>
        <v>7.65017293723654</v>
      </c>
      <c r="U26" s="99">
        <f ca="1" t="shared" si="10"/>
        <v>5.68906103450142</v>
      </c>
      <c r="V26" s="99">
        <f ca="1">IF(P26&gt;P25,IF(Q26&gt;1,MAX(AI25+(Wfc-Wwp)*(P26-P25)*AJ25/S25,0),AI25/P25*P26),MAX(AI25+(Wfc-Wwp)*(P26-P25)*AI25/R25,0))</f>
        <v>10.3623447811888</v>
      </c>
      <c r="W26" s="99">
        <f ca="1">IF(S26&gt;1,IF(P26&gt;P25,MAX(AJ25-(Wfc-Wwp)*(P26-P25)*AJ25/S25,0),MAX(AJ25-(Wfc-Wwp)*(P26-P25)*AI25/R25,0)),0)</f>
        <v>21.8273125388638</v>
      </c>
      <c r="X26" s="99">
        <f ca="1">IF(AND(OR(AND(dec_vide_TAW&lt;0,V26&gt;R26*(p+0.04*(5-I25))),AND(dec_vide_TAW&gt;0,V26&gt;R26*dec_vide_TAW)),H26&gt;MAX(INDEX(H:H,Lig_min,1):INDEX(H:H,ROW(X26),1))*Kcbmax_stop_irrig*IF(ROW(X26)-lig_kcbmax&gt;0,1,0),MIN(INDEX(H:H,ROW(X26),1):INDEX(H:H,lig_kcbmax,1))&gt;Kcbmin_start_irrig),MIN(MAX(V26-E26*Irri_man-C26,0),Lame_max),0)</f>
        <v>0</v>
      </c>
      <c r="Y26" s="99">
        <f ca="1">MIN(MAX(T26-C26-IF(fw&gt;0,X26/fw*Irri_auto+E26/fw*Irri_man,0),0),TEW)</f>
        <v>7.45217293723654</v>
      </c>
      <c r="Z26" s="99">
        <f ca="1">MIN(MAX(U26-C26,0),TEW)</f>
        <v>5.49106103450142</v>
      </c>
      <c r="AA26" s="99">
        <f ca="1">MIN(MAX(V26-C26-(X26*Irri_auto+E26*Irri_man),0),R26)</f>
        <v>10.1643447811888</v>
      </c>
      <c r="AB26" s="99">
        <f ca="1">MIN(MAX(W26+MIN(V26-C26-(X26*Irri_auto+E26*Irri_man),0),0),S26)</f>
        <v>21.8273125388638</v>
      </c>
      <c r="AC26" s="99">
        <f ca="1">-MIN(W26+MIN(V26-C26-(X26*Irri_auto+E26*Irri_man),0),0)</f>
        <v>0</v>
      </c>
      <c r="AD26" s="39">
        <f ca="1">IF(((R26-AA26)/P26-((Wfc-Wwp)*Ze-Y26)/Ze)/Wfc*DiffE&lt;0,MAX(((R26-AA26)/P26-((Wfc-Wwp)*Ze-Y26)/Ze)/Wfc*DiffE,(R26*Ze-((Wfc-Wwp)*Ze-Y26-AA26)*P26)/(P26+Ze)-AA26),MIN(((R26-AA26)/P26-((Wfc-Wwp)*Ze-Y26)/Ze)/Wfc*DiffE,(R26*Ze-((Wfc-Wwp)*Ze-Y26-AA26)*P26)/(P26+Ze)-AA26))</f>
        <v>1.04505647746717e-8</v>
      </c>
      <c r="AE26" s="39">
        <f ca="1">IF(((R26-AA26)/P26-((Wfc-Wwp)*Ze-Z26)/Ze)/Wfc*DiffE&lt;0,MAX(((R26-AA26)/P26-((Wfc-Wwp)*Ze-Z26)/Ze)/Wfc*DiffE,(R26*Ze-((Wfc-Wwp)*Ze-Z26-AA26)*P26)/(P26+Ze)-AA26),MIN(((R26-AA26)/P26-((Wfc-Wwp)*Ze-Z26)/Ze)/Wfc*DiffE,(R26*Ze-((Wfc-Wwp)*Ze-Z26-AA26)*P26)/(P26+Ze)-AA26))</f>
        <v>-2.87716732800307e-8</v>
      </c>
      <c r="AF26" s="39">
        <f ca="1">IF(((S26-AB26)/Q26-(R26-AA26)/P26)/Wfc*DiffR&lt;0,MAX(((S26-AB26)/Q26-(R26-AA26)/P26)/Wfc*DiffR,(S26*P26-(R26-AA26-AB26)*Q26)/(P26+Q26)-AB26),MIN(((S26-AB26)/Q26-(R26-AA26)/P26)/Wfc*DiffR,(S26*P26-(R26-AA26-AB26)*Q26)/(P26+Q26)-AB26))</f>
        <v>1.18448410155864e-8</v>
      </c>
      <c r="AG26" s="99">
        <f ca="1">MIN(MAX(Y26+IF(AU26&gt;0,B26*AZ26/AU26,0)+BE26-AD26,0),TEW)</f>
        <v>7.8053575828683</v>
      </c>
      <c r="AH26" s="99">
        <f ca="1">MIN(MAX(Z26+IF(AV26&gt;0,B26*BA26/AV26,0)+BF26-AE26,0),TEW)</f>
        <v>5.68578089893083</v>
      </c>
      <c r="AI26" s="99">
        <f ca="1" t="shared" si="1"/>
        <v>10.4978797876937</v>
      </c>
      <c r="AJ26" s="99">
        <f ca="1" t="shared" si="2"/>
        <v>21.8273125507086</v>
      </c>
      <c r="AK26" s="70">
        <f ca="1">IF((AU26+AV26)&gt;0,(TEW-(AG26*AU26+AH26*AV26)/(AU26+AV26))/TEW,(TEW-(AG26+AH26)/2)/TEW)</f>
        <v>0.764366563536051</v>
      </c>
      <c r="AL26" s="70">
        <f ca="1" t="shared" si="3"/>
        <v>0.55956704262353</v>
      </c>
      <c r="AM26" s="70">
        <f ca="1" t="shared" si="4"/>
        <v>0.61000599069768</v>
      </c>
      <c r="AN26" s="70">
        <f ca="1">Wwp+(Wfc-Wwp)*IF((AU26+AV26)&gt;0,(TEW-(AG26*AU26+AH26*AV26)/(AU26+AV26))/TEW,(TEW-(AG26+AH26)/2)/TEW)</f>
        <v>0.369367653259687</v>
      </c>
      <c r="AO26" s="70">
        <f ca="1">Wwp+(Wfc-Wwp)*(R26-AI26)/R26</f>
        <v>0.342743715541059</v>
      </c>
      <c r="AP26" s="70">
        <f ca="1">Wwp+(Wfc-Wwp)*(S26-AJ26)/S26</f>
        <v>0.349300778790698</v>
      </c>
      <c r="AQ26" s="70"/>
      <c r="AR26" s="70"/>
      <c r="AS26" s="70"/>
      <c r="AT26" s="70"/>
      <c r="AU26" s="70">
        <f ca="1">MIN((1-G26),fw)</f>
        <v>0.876</v>
      </c>
      <c r="AV26" s="70">
        <f ca="1" t="shared" si="5"/>
        <v>0</v>
      </c>
      <c r="AW26" s="70">
        <f ca="1">MIN((TEW-Y26)/(TEW-REW),1)</f>
        <v>0.0986442631840682</v>
      </c>
      <c r="AX26" s="70">
        <f ca="1">MIN((TEW-Z26)/(TEW-REW),1)</f>
        <v>0.106179562595928</v>
      </c>
      <c r="AY26" s="70">
        <f ca="1">IF((AU26*(TEW-Y26))&gt;0,1/(1+((AV26*(TEW-Z26))/(AU26*(TEW-Y26)))),0)</f>
        <v>1</v>
      </c>
      <c r="AZ26" s="70">
        <f ca="1">MIN((AY26*AW26*(Kcmax-H26)),AU26*Kcmax)</f>
        <v>0.0996519617314699</v>
      </c>
      <c r="BA26" s="70">
        <f ca="1">MIN(((1-AY26)*AX26*(Kcmax-H26)),AV26*Kcmax)</f>
        <v>0</v>
      </c>
      <c r="BB26" s="70">
        <f ca="1" t="shared" si="6"/>
        <v>0.138815182691938</v>
      </c>
      <c r="BC26" s="70">
        <f ca="1">MIN((R26-AA26)/(R26*(1-(p+0.04*(5-I25)))),1)</f>
        <v>1</v>
      </c>
      <c r="BD26" s="10">
        <f ca="1" t="shared" si="7"/>
        <v>0.194719835657739</v>
      </c>
      <c r="BE26" s="70">
        <f ca="1">MIN(IF((1-AA26/R26)&gt;0,(1-Y26/TEW)/(1-AA26/R26)*(Ze/P26)^0.6,0),1)*BC26*H26*B26</f>
        <v>0.194719835657739</v>
      </c>
      <c r="BF26" s="70">
        <f ca="1">MIN(IF((1-AA26/R26)&gt;0,(1-Z26/TEW)/(1-AA26/R26)*(Ze/P26)^0.6,0),1)*BC26*H26*B26</f>
        <v>0.194719835657739</v>
      </c>
      <c r="BG26"/>
      <c r="BH26" s="10">
        <f ca="1" t="shared" si="8"/>
        <v>0.00351089648237972</v>
      </c>
      <c r="BI26" s="10">
        <f ca="1">IF(F26&lt;&gt;"",(Moy_Etobs-F26)^2,"")</f>
        <v>1.78113146264392</v>
      </c>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c r="A27" s="38">
        <v>39020</v>
      </c>
      <c r="B27" s="10">
        <v>1.363</v>
      </c>
      <c r="C27" s="39">
        <v>0.198</v>
      </c>
      <c r="D27">
        <v>0.243</v>
      </c>
      <c r="E27" s="39">
        <v>0</v>
      </c>
      <c r="F27" s="10">
        <v>0.5084136</v>
      </c>
      <c r="G27" s="10">
        <f ca="1">MIN(MAX(IF(AND(Durpla&gt;ROW()-MATCH(NDVImax,INDEX(D:D,Lig_min,1):INDEX(D:D,Lig_max,1),0)-Lig_min+1,ROW()-MATCH(NDVImax,INDEX(D:D,Lig_min,1):INDEX(D:D,Lig_max,1),0)-Lig_min+1&gt;0,D27*a_fc+b_fc&gt;fc_fin),NDVImax*a_fc+b_fc,D27*a_fc+b_fc),0),1)</f>
        <v>0.124</v>
      </c>
      <c r="H27" s="55">
        <f>MIN(MAX(D27*a_kcb+b_kcb,0),Kcmax)</f>
        <v>0.139784519495864</v>
      </c>
      <c r="I27" s="70">
        <f ca="1" t="shared" si="0"/>
        <v>0.325530898193648</v>
      </c>
      <c r="J27"/>
      <c r="K27"/>
      <c r="L27"/>
      <c r="M27"/>
      <c r="N27"/>
      <c r="O27" s="55"/>
      <c r="P27" s="35">
        <f ca="1">IF(ROW()-MATCH(NDVImax,INDEX(D:D,Lig_min,1):INDEX(D:D,Lig_max,1),0)-Lig_min+1&gt;0,MAX(MIN(Zr_min+MAX(INDEX(G:G,Lig_min,1):INDEX(G:G,Lig_max,1))/MAX(MAX(INDEX(G:G,Lig_min,1):INDEX(G:G,Lig_max,1)),Max_fc_pour_Zrmax)*(Zr_max-Zr_min),Zr_max),Ze+0.001),MAX(MIN(Zr_min+G27/MAX(MAX(INDEX(G:G,Lig_min,1):INDEX(G:G,Lig_max,1)),Max_fc_pour_Zrmax)*(Zr_max-Zr_min),Zr_max),Ze+0.001))</f>
        <v>183.348952641553</v>
      </c>
      <c r="Q27" s="35">
        <f ca="1">IF(Z_sol&gt;0,Z_sol-P27,0.1)</f>
        <v>430.525598422882</v>
      </c>
      <c r="R27" s="35">
        <f ca="1">(Wfc-Wwp)*P27</f>
        <v>23.8353638434018</v>
      </c>
      <c r="S27" s="35">
        <f ca="1">(Wfc-Wwp)*Q27</f>
        <v>55.9683277949746</v>
      </c>
      <c r="T27" s="99">
        <f ca="1" t="shared" si="9"/>
        <v>7.8053575828683</v>
      </c>
      <c r="U27" s="99">
        <f ca="1" t="shared" si="10"/>
        <v>5.68578089893083</v>
      </c>
      <c r="V27" s="99">
        <f ca="1">IF(P27&gt;P26,IF(Q27&gt;1,MAX(AI26+(Wfc-Wwp)*(P27-P26)*AJ26/S26,0),AI26/P26*P27),MAX(AI26+(Wfc-Wwp)*(P27-P26)*AI26/R26,0))</f>
        <v>10.4978797876937</v>
      </c>
      <c r="W27" s="99">
        <f ca="1">IF(S27&gt;1,IF(P27&gt;P26,MAX(AJ26-(Wfc-Wwp)*(P27-P26)*AJ26/S26,0),MAX(AJ26-(Wfc-Wwp)*(P27-P26)*AI26/R26,0)),0)</f>
        <v>21.8273125507086</v>
      </c>
      <c r="X27" s="99">
        <f ca="1">IF(AND(OR(AND(dec_vide_TAW&lt;0,V27&gt;R27*(p+0.04*(5-I26))),AND(dec_vide_TAW&gt;0,V27&gt;R27*dec_vide_TAW)),H27&gt;MAX(INDEX(H:H,Lig_min,1):INDEX(H:H,ROW(X27),1))*Kcbmax_stop_irrig*IF(ROW(X27)-lig_kcbmax&gt;0,1,0),MIN(INDEX(H:H,ROW(X27),1):INDEX(H:H,lig_kcbmax,1))&gt;Kcbmin_start_irrig),MIN(MAX(V27-E27*Irri_man-C27,0),Lame_max),0)</f>
        <v>0</v>
      </c>
      <c r="Y27" s="99">
        <f ca="1">MIN(MAX(T27-C27-IF(fw&gt;0,X27/fw*Irri_auto+E27/fw*Irri_man,0),0),TEW)</f>
        <v>7.6073575828683</v>
      </c>
      <c r="Z27" s="99">
        <f ca="1">MIN(MAX(U27-C27,0),TEW)</f>
        <v>5.48778089893083</v>
      </c>
      <c r="AA27" s="99">
        <f ca="1">MIN(MAX(V27-C27-(X27*Irri_auto+E27*Irri_man),0),R27)</f>
        <v>10.2998797876937</v>
      </c>
      <c r="AB27" s="99">
        <f ca="1">MIN(MAX(W27+MIN(V27-C27-(X27*Irri_auto+E27*Irri_man),0),0),S27)</f>
        <v>21.8273125507086</v>
      </c>
      <c r="AC27" s="99">
        <f ca="1">-MIN(W27+MIN(V27-C27-(X27*Irri_auto+E27*Irri_man),0),0)</f>
        <v>0</v>
      </c>
      <c r="AD27" s="39">
        <f ca="1">IF(((R27-AA27)/P27-((Wfc-Wwp)*Ze-Y27)/Ze)/Wfc*DiffE&lt;0,MAX(((R27-AA27)/P27-((Wfc-Wwp)*Ze-Y27)/Ze)/Wfc*DiffE,(R27*Ze-((Wfc-Wwp)*Ze-Y27-AA27)*P27)/(P27+Ze)-AA27),MIN(((R27-AA27)/P27-((Wfc-Wwp)*Ze-Y27)/Ze)/Wfc*DiffE,(R27*Ze-((Wfc-Wwp)*Ze-Y27-AA27)*P27)/(P27+Ze)-AA27))</f>
        <v>1.17062104997971e-8</v>
      </c>
      <c r="AE27" s="39">
        <f ca="1">IF(((R27-AA27)/P27-((Wfc-Wwp)*Ze-Z27)/Ze)/Wfc*DiffE&lt;0,MAX(((R27-AA27)/P27-((Wfc-Wwp)*Ze-Z27)/Ze)/Wfc*DiffE,(R27*Ze-((Wfc-Wwp)*Ze-Z27-AA27)*P27)/(P27+Ze)-AA27),MIN(((R27-AA27)/P27-((Wfc-Wwp)*Ze-Z27)/Ze)/Wfc*DiffE,(R27*Ze-((Wfc-Wwp)*Ze-Z27-AA27)*P27)/(P27+Ze)-AA27))</f>
        <v>-3.06853231789523e-8</v>
      </c>
      <c r="AF27" s="39">
        <f ca="1">IF(((S27-AB27)/Q27-(R27-AA27)/P27)/Wfc*DiffR&lt;0,MAX(((S27-AB27)/Q27-(R27-AA27)/P27)/Wfc*DiffR,(S27*P27-(R27-AA27-AB27)*Q27)/(P27+Q27)-AB27),MIN(((S27-AB27)/Q27-(R27-AA27)/P27)/Wfc*DiffR,(S27*P27-(R27-AA27-AB27)*Q27)/(P27+Q27)-AB27))</f>
        <v>1.36928881343149e-8</v>
      </c>
      <c r="AG27" s="99">
        <f ca="1">MIN(MAX(Y27+IF(AU27&gt;0,B27*AZ27/AU27,0)+BE27-AD27,0),TEW)</f>
        <v>7.95199870927238</v>
      </c>
      <c r="AH27" s="99">
        <f ca="1">MIN(MAX(Z27+IF(AV27&gt;0,B27*BA27/AV27,0)+BF27-AE27,0),TEW)</f>
        <v>5.67830722968901</v>
      </c>
      <c r="AI27" s="99">
        <f ca="1" t="shared" si="1"/>
        <v>10.6254106721944</v>
      </c>
      <c r="AJ27" s="99">
        <f ca="1" t="shared" si="2"/>
        <v>21.8273125644015</v>
      </c>
      <c r="AK27" s="70">
        <f ca="1">IF((AU27+AV27)&gt;0,(TEW-(AG27*AU27+AH27*AV27)/(AU27+AV27))/TEW,(TEW-(AG27+AH27)/2)/TEW)</f>
        <v>0.759939661606872</v>
      </c>
      <c r="AL27" s="70">
        <f ca="1" t="shared" si="3"/>
        <v>0.55421655226229</v>
      </c>
      <c r="AM27" s="70">
        <f ca="1" t="shared" si="4"/>
        <v>0.610005990453026</v>
      </c>
      <c r="AN27" s="70">
        <f ca="1">Wwp+(Wfc-Wwp)*IF((AU27+AV27)&gt;0,(TEW-(AG27*AU27+AH27*AV27)/(AU27+AV27))/TEW,(TEW-(AG27+AH27)/2)/TEW)</f>
        <v>0.368792156008893</v>
      </c>
      <c r="AO27" s="70">
        <f ca="1">Wwp+(Wfc-Wwp)*(R27-AI27)/R27</f>
        <v>0.342048151794098</v>
      </c>
      <c r="AP27" s="70">
        <f ca="1">Wwp+(Wfc-Wwp)*(S27-AJ27)/S27</f>
        <v>0.349300778758893</v>
      </c>
      <c r="AQ27" s="70"/>
      <c r="AR27" s="70"/>
      <c r="AS27" s="70"/>
      <c r="AT27" s="70"/>
      <c r="AU27" s="70">
        <f ca="1">MIN((1-G27),fw)</f>
        <v>0.876</v>
      </c>
      <c r="AV27" s="70">
        <f ca="1" t="shared" si="5"/>
        <v>0</v>
      </c>
      <c r="AW27" s="70">
        <f ca="1">MIN((TEW-Y27)/(TEW-REW),1)</f>
        <v>0.0980479877918645</v>
      </c>
      <c r="AX27" s="70">
        <f ca="1">MIN((TEW-Z27)/(TEW-REW),1)</f>
        <v>0.106192166060116</v>
      </c>
      <c r="AY27" s="70">
        <f ca="1">IF((AU27*(TEW-Y27))&gt;0,1/(1+((AV27*(TEW-Z27))/(AU27*(TEW-Y27)))),0)</f>
        <v>1</v>
      </c>
      <c r="AZ27" s="70">
        <f ca="1">MIN((AY27*AW27*(Kcmax-H27)),AU27*Kcmax)</f>
        <v>0.0990495950996221</v>
      </c>
      <c r="BA27" s="70">
        <f ca="1">MIN(((1-AY27)*AX27*(Kcmax-H27)),AV27*Kcmax)</f>
        <v>0</v>
      </c>
      <c r="BB27" s="70">
        <f ca="1" t="shared" si="6"/>
        <v>0.135004598120785</v>
      </c>
      <c r="BC27" s="70">
        <f ca="1">MIN((R27-AA27)/(R27*(1-(p+0.04*(5-I26)))),1)</f>
        <v>1</v>
      </c>
      <c r="BD27" s="10">
        <f ca="1" t="shared" si="7"/>
        <v>0.190526300072863</v>
      </c>
      <c r="BE27" s="70">
        <f ca="1">MIN(IF((1-AA27/R27)&gt;0,(1-Y27/TEW)/(1-AA27/R27)*(Ze/P27)^0.6,0),1)*BC27*H27*B27</f>
        <v>0.190526300072863</v>
      </c>
      <c r="BF27" s="70">
        <f ca="1">MIN(IF((1-AA27/R27)&gt;0,(1-Z27/TEW)/(1-AA27/R27)*(Ze/P27)^0.6,0),1)*BC27*H27*B27</f>
        <v>0.190526300072863</v>
      </c>
      <c r="BG27"/>
      <c r="BH27" s="10">
        <f ca="1" t="shared" si="8"/>
        <v>0.0334460826199912</v>
      </c>
      <c r="BI27" s="10">
        <f ca="1">IF(F27&lt;&gt;"",(Moy_Etobs-F27)^2,"")</f>
        <v>1.21100995038188</v>
      </c>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c r="A28" s="38">
        <v>39021</v>
      </c>
      <c r="B28" s="10">
        <v>1.233</v>
      </c>
      <c r="C28" s="39">
        <v>0.396</v>
      </c>
      <c r="D28">
        <v>0.26</v>
      </c>
      <c r="E28" s="39">
        <v>0</v>
      </c>
      <c r="F28" s="10">
        <v>0.5447682</v>
      </c>
      <c r="G28" s="10">
        <f ca="1">MIN(MAX(IF(AND(Durpla&gt;ROW()-MATCH(NDVImax,INDEX(D:D,Lig_min,1):INDEX(D:D,Lig_max,1),0)-Lig_min+1,ROW()-MATCH(NDVImax,INDEX(D:D,Lig_min,1):INDEX(D:D,Lig_max,1),0)-Lig_min+1&gt;0,D28*a_fc+b_fc&gt;fc_fin),NDVImax*a_fc+b_fc,D28*a_fc+b_fc),0),1)</f>
        <v>0.146666666666667</v>
      </c>
      <c r="H28" s="55">
        <f>MIN(MAX(D28*a_kcb+b_kcb,0),Kcmax)</f>
        <v>0.165336528435968</v>
      </c>
      <c r="I28" s="70">
        <f ca="1" t="shared" si="0"/>
        <v>0.323138614693004</v>
      </c>
      <c r="J28"/>
      <c r="K28"/>
      <c r="L28"/>
      <c r="M28"/>
      <c r="N28"/>
      <c r="O28" s="55"/>
      <c r="P28" s="35">
        <f ca="1">IF(ROW()-MATCH(NDVImax,INDEX(D:D,Lig_min,1):INDEX(D:D,Lig_max,1),0)-Lig_min+1&gt;0,MAX(MIN(Zr_min+MAX(INDEX(G:G,Lig_min,1):INDEX(G:G,Lig_max,1))/MAX(MAX(INDEX(G:G,Lig_min,1):INDEX(G:G,Lig_max,1)),Max_fc_pour_Zrmax)*(Zr_max-Zr_min),Zr_max),Ze+0.001),MAX(MIN(Zr_min+G28/MAX(MAX(INDEX(G:G,Lig_min,1):INDEX(G:G,Lig_max,1)),Max_fc_pour_Zrmax)*(Zr_max-Zr_min),Zr_max),Ze+0.001))</f>
        <v>194.014890221191</v>
      </c>
      <c r="Q28" s="35">
        <f ca="1">IF(Z_sol&gt;0,Z_sol-P28,0.1)</f>
        <v>419.859660843243</v>
      </c>
      <c r="R28" s="35">
        <f ca="1">(Wfc-Wwp)*P28</f>
        <v>25.2219357287549</v>
      </c>
      <c r="S28" s="35">
        <f ca="1">(Wfc-Wwp)*Q28</f>
        <v>54.5817559096216</v>
      </c>
      <c r="T28" s="99">
        <f ca="1" t="shared" si="9"/>
        <v>7.95199870927238</v>
      </c>
      <c r="U28" s="99">
        <f ca="1" t="shared" si="10"/>
        <v>5.67830722968901</v>
      </c>
      <c r="V28" s="99">
        <f ca="1">IF(P28&gt;P27,IF(Q28&gt;1,MAX(AI27+(Wfc-Wwp)*(P28-P27)*AJ27/S27,0),AI27/P27*P28),MAX(AI27+(Wfc-Wwp)*(P28-P27)*AI27/R27,0))</f>
        <v>11.1661654012884</v>
      </c>
      <c r="W28" s="99">
        <f ca="1">IF(S28&gt;1,IF(P28&gt;P27,MAX(AJ27-(Wfc-Wwp)*(P28-P27)*AJ27/S27,0),MAX(AJ27-(Wfc-Wwp)*(P28-P27)*AI27/R27,0)),0)</f>
        <v>21.2865578353076</v>
      </c>
      <c r="X28" s="99">
        <f ca="1">IF(AND(OR(AND(dec_vide_TAW&lt;0,V28&gt;R28*(p+0.04*(5-I27))),AND(dec_vide_TAW&gt;0,V28&gt;R28*dec_vide_TAW)),H28&gt;MAX(INDEX(H:H,Lig_min,1):INDEX(H:H,ROW(X28),1))*Kcbmax_stop_irrig*IF(ROW(X28)-lig_kcbmax&gt;0,1,0),MIN(INDEX(H:H,ROW(X28),1):INDEX(H:H,lig_kcbmax,1))&gt;Kcbmin_start_irrig),MIN(MAX(V28-E28*Irri_man-C28,0),Lame_max),0)</f>
        <v>0</v>
      </c>
      <c r="Y28" s="99">
        <f ca="1">MIN(MAX(T28-C28-IF(fw&gt;0,X28/fw*Irri_auto+E28/fw*Irri_man,0),0),TEW)</f>
        <v>7.55599870927238</v>
      </c>
      <c r="Z28" s="99">
        <f ca="1">MIN(MAX(U28-C28,0),TEW)</f>
        <v>5.28230722968901</v>
      </c>
      <c r="AA28" s="99">
        <f ca="1">MIN(MAX(V28-C28-(X28*Irri_auto+E28*Irri_man),0),R28)</f>
        <v>10.7701654012884</v>
      </c>
      <c r="AB28" s="99">
        <f ca="1">MIN(MAX(W28+MIN(V28-C28-(X28*Irri_auto+E28*Irri_man),0),0),S28)</f>
        <v>21.2865578353076</v>
      </c>
      <c r="AC28" s="99">
        <f ca="1">-MIN(W28+MIN(V28-C28-(X28*Irri_auto+E28*Irri_man),0),0)</f>
        <v>0</v>
      </c>
      <c r="AD28" s="39">
        <f ca="1">IF(((R28-AA28)/P28-((Wfc-Wwp)*Ze-Y28)/Ze)/Wfc*DiffE&lt;0,MAX(((R28-AA28)/P28-((Wfc-Wwp)*Ze-Y28)/Ze)/Wfc*DiffE,(R28*Ze-((Wfc-Wwp)*Ze-Y28-AA28)*P28)/(P28+Ze)-AA28),MIN(((R28-AA28)/P28-((Wfc-Wwp)*Ze-Y28)/Ze)/Wfc*DiffE,(R28*Ze-((Wfc-Wwp)*Ze-Y28-AA28)*P28)/(P28+Ze)-AA28))</f>
        <v>1.23398348233401e-8</v>
      </c>
      <c r="AE28" s="39">
        <f ca="1">IF(((R28-AA28)/P28-((Wfc-Wwp)*Ze-Z28)/Ze)/Wfc*DiffE&lt;0,MAX(((R28-AA28)/P28-((Wfc-Wwp)*Ze-Z28)/Ze)/Wfc*DiffE,(R28*Ze-((Wfc-Wwp)*Ze-Z28-AA28)*P28)/(P28+Ze)-AA28),MIN(((R28-AA28)/P28-((Wfc-Wwp)*Ze-Z28)/Ze)/Wfc*DiffE,(R28*Ze-((Wfc-Wwp)*Ze-Z28-AA28)*P28)/(P28+Ze)-AA28))</f>
        <v>-3.31339947683271e-8</v>
      </c>
      <c r="AF28" s="39">
        <f ca="1">IF(((S28-AB28)/Q28-(R28-AA28)/P28)/Wfc*DiffR&lt;0,MAX(((S28-AB28)/Q28-(R28-AA28)/P28)/Wfc*DiffR,(S28*P28-(R28-AA28-AB28)*Q28)/(P28+Q28)-AB28),MIN(((S28-AB28)/Q28-(R28-AA28)/P28)/Wfc*DiffR,(S28*P28-(R28-AA28-AB28)*Q28)/(P28+Q28)-AB28))</f>
        <v>1.20320862593409e-8</v>
      </c>
      <c r="AG28" s="99">
        <f ca="1">MIN(MAX(Y28+IF(AU28&gt;0,B28*AZ28/AU28,0)+BE28-AD28,0),TEW)</f>
        <v>7.89963833391377</v>
      </c>
      <c r="AH28" s="99">
        <f ca="1">MIN(MAX(Z28+IF(AV28&gt;0,B28*BA28/AV28,0)+BF28-AE28,0),TEW)</f>
        <v>5.48616720238456</v>
      </c>
      <c r="AI28" s="99">
        <f ca="1" t="shared" si="1"/>
        <v>11.0933040039493</v>
      </c>
      <c r="AJ28" s="99">
        <f ca="1" t="shared" si="2"/>
        <v>21.2865578473396</v>
      </c>
      <c r="AK28" s="70">
        <f ca="1">IF((AU28+AV28)&gt;0,(TEW-(AG28*AU28+AH28*AV28)/(AU28+AV28))/TEW,(TEW-(AG28+AH28)/2)/TEW)</f>
        <v>0.761520352183735</v>
      </c>
      <c r="AL28" s="70">
        <f ca="1" t="shared" si="3"/>
        <v>0.56017237839116</v>
      </c>
      <c r="AM28" s="70">
        <f ca="1" t="shared" si="4"/>
        <v>0.610005990232584</v>
      </c>
      <c r="AN28" s="70">
        <f ca="1">Wwp+(Wfc-Wwp)*IF((AU28+AV28)&gt;0,(TEW-(AG28*AU28+AH28*AV28)/(AU28+AV28))/TEW,(TEW-(AG28+AH28)/2)/TEW)</f>
        <v>0.368997645783886</v>
      </c>
      <c r="AO28" s="70">
        <f ca="1">Wwp+(Wfc-Wwp)*(R28-AI28)/R28</f>
        <v>0.342822409190851</v>
      </c>
      <c r="AP28" s="70">
        <f ca="1">Wwp+(Wfc-Wwp)*(S28-AJ28)/S28</f>
        <v>0.349300778730236</v>
      </c>
      <c r="AQ28" s="70"/>
      <c r="AR28" s="70"/>
      <c r="AS28" s="70"/>
      <c r="AT28" s="70"/>
      <c r="AU28" s="70">
        <f ca="1">MIN((1-G28),fw)</f>
        <v>0.853333333333333</v>
      </c>
      <c r="AV28" s="70">
        <f ca="1" t="shared" si="5"/>
        <v>0</v>
      </c>
      <c r="AW28" s="70">
        <f ca="1">MIN((TEW-Y28)/(TEW-REW),1)</f>
        <v>0.0982453271122069</v>
      </c>
      <c r="AX28" s="70">
        <f ca="1">MIN((TEW-Z28)/(TEW-REW),1)</f>
        <v>0.106981670023062</v>
      </c>
      <c r="AY28" s="70">
        <f ca="1">IF((AU28*(TEW-Y28))&gt;0,1/(1+((AV28*(TEW-Z28))/(AU28*(TEW-Y28)))),0)</f>
        <v>1</v>
      </c>
      <c r="AZ28" s="70">
        <f ca="1">MIN((AY28*AW28*(Kcmax-H28)),AU28*Kcmax)</f>
        <v>0.0967385848592495</v>
      </c>
      <c r="BA28" s="70">
        <f ca="1">MIN(((1-AY28)*AX28*(Kcmax-H28)),AV28*Kcmax)</f>
        <v>0</v>
      </c>
      <c r="BB28" s="70">
        <f ca="1" t="shared" si="6"/>
        <v>0.119278675131455</v>
      </c>
      <c r="BC28" s="70">
        <f ca="1">MIN((R28-AA28)/(R28*(1-(p+0.04*(5-I27)))),1)</f>
        <v>1</v>
      </c>
      <c r="BD28" s="10">
        <f ca="1" t="shared" si="7"/>
        <v>0.203859939561549</v>
      </c>
      <c r="BE28" s="70">
        <f ca="1">MIN(IF((1-AA28/R28)&gt;0,(1-Y28/TEW)/(1-AA28/R28)*(Ze/P28)^0.6,0),1)*BC28*H28*B28</f>
        <v>0.203859939561549</v>
      </c>
      <c r="BF28" s="70">
        <f ca="1">MIN(IF((1-AA28/R28)&gt;0,(1-Z28/TEW)/(1-AA28/R28)*(Ze/P28)^0.6,0),1)*BC28*H28*B28</f>
        <v>0.203859939561549</v>
      </c>
      <c r="BG28"/>
      <c r="BH28" s="10">
        <f ca="1" t="shared" si="8"/>
        <v>0.0491196730833512</v>
      </c>
      <c r="BI28" s="10">
        <f ca="1">IF(F28&lt;&gt;"",(Moy_Etobs-F28)^2,"")</f>
        <v>1.13231811579227</v>
      </c>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c r="A29" s="38">
        <v>39022</v>
      </c>
      <c r="B29" s="10">
        <v>1.216</v>
      </c>
      <c r="C29" s="39">
        <v>0.594</v>
      </c>
      <c r="D29">
        <v>0.276</v>
      </c>
      <c r="E29" s="39">
        <v>0</v>
      </c>
      <c r="F29"/>
      <c r="G29" s="10">
        <f ca="1">MIN(MAX(IF(AND(Durpla&gt;ROW()-MATCH(NDVImax,INDEX(D:D,Lig_min,1):INDEX(D:D,Lig_max,1),0)-Lig_min+1,ROW()-MATCH(NDVImax,INDEX(D:D,Lig_min,1):INDEX(D:D,Lig_max,1),0)-Lig_min+1&gt;0,D29*a_fc+b_fc&gt;fc_fin),NDVImax*a_fc+b_fc,D29*a_fc+b_fc),0),1)</f>
        <v>0.168</v>
      </c>
      <c r="H29" s="55">
        <f>MIN(MAX(D29*a_kcb+b_kcb,0),Kcmax)</f>
        <v>0.189385478026655</v>
      </c>
      <c r="I29" s="70">
        <f ca="1" t="shared" si="0"/>
        <v>0.346177510856622</v>
      </c>
      <c r="J29"/>
      <c r="K29"/>
      <c r="L29"/>
      <c r="M29"/>
      <c r="N29"/>
      <c r="O29" s="55"/>
      <c r="P29" s="35">
        <f ca="1">IF(ROW()-MATCH(NDVImax,INDEX(D:D,Lig_min,1):INDEX(D:D,Lig_max,1),0)-Lig_min+1&gt;0,MAX(MIN(Zr_min+MAX(INDEX(G:G,Lig_min,1):INDEX(G:G,Lig_max,1))/MAX(MAX(INDEX(G:G,Lig_min,1):INDEX(G:G,Lig_max,1)),Max_fc_pour_Zrmax)*(Zr_max-Zr_min),Zr_max),Ze+0.001),MAX(MIN(Zr_min+G29/MAX(MAX(INDEX(G:G,Lig_min,1):INDEX(G:G,Lig_max,1)),Max_fc_pour_Zrmax)*(Zr_max-Zr_min),Zr_max),Ze+0.001))</f>
        <v>204.05341970791</v>
      </c>
      <c r="Q29" s="35">
        <f ca="1">IF(Z_sol&gt;0,Z_sol-P29,0.1)</f>
        <v>409.821131356524</v>
      </c>
      <c r="R29" s="35">
        <f ca="1">(Wfc-Wwp)*P29</f>
        <v>26.5269445620283</v>
      </c>
      <c r="S29" s="35">
        <f ca="1">(Wfc-Wwp)*Q29</f>
        <v>53.2767470763481</v>
      </c>
      <c r="T29" s="99">
        <f ca="1" t="shared" si="9"/>
        <v>7.89963833391377</v>
      </c>
      <c r="U29" s="99">
        <f ca="1" t="shared" si="10"/>
        <v>5.48616720238456</v>
      </c>
      <c r="V29" s="99">
        <f ca="1">IF(P29&gt;P28,IF(Q29&gt;1,MAX(AI28+(Wfc-Wwp)*(P29-P28)*AJ28/S28,0),AI28/P28*P29),MAX(AI28+(Wfc-Wwp)*(P29-P28)*AI28/R28,0))</f>
        <v>11.6022496316195</v>
      </c>
      <c r="W29" s="99">
        <f ca="1">IF(S29&gt;1,IF(P29&gt;P28,MAX(AJ28-(Wfc-Wwp)*(P29-P28)*AJ28/S28,0),MAX(AJ28-(Wfc-Wwp)*(P29-P28)*AI28/R28,0)),0)</f>
        <v>20.7776122196694</v>
      </c>
      <c r="X29" s="99">
        <f ca="1">IF(AND(OR(AND(dec_vide_TAW&lt;0,V29&gt;R29*(p+0.04*(5-I28))),AND(dec_vide_TAW&gt;0,V29&gt;R29*dec_vide_TAW)),H29&gt;MAX(INDEX(H:H,Lig_min,1):INDEX(H:H,ROW(X29),1))*Kcbmax_stop_irrig*IF(ROW(X29)-lig_kcbmax&gt;0,1,0),MIN(INDEX(H:H,ROW(X29),1):INDEX(H:H,lig_kcbmax,1))&gt;Kcbmin_start_irrig),MIN(MAX(V29-E29*Irri_man-C29,0),Lame_max),0)</f>
        <v>0</v>
      </c>
      <c r="Y29" s="99">
        <f ca="1">MIN(MAX(T29-C29-IF(fw&gt;0,X29/fw*Irri_auto+E29/fw*Irri_man,0),0),TEW)</f>
        <v>7.30563833391377</v>
      </c>
      <c r="Z29" s="99">
        <f ca="1">MIN(MAX(U29-C29,0),TEW)</f>
        <v>4.89216720238456</v>
      </c>
      <c r="AA29" s="99">
        <f ca="1">MIN(MAX(V29-C29-(X29*Irri_auto+E29*Irri_man),0),R29)</f>
        <v>11.0082496316195</v>
      </c>
      <c r="AB29" s="99">
        <f ca="1">MIN(MAX(W29+MIN(V29-C29-(X29*Irri_auto+E29*Irri_man),0),0),S29)</f>
        <v>20.7776122196694</v>
      </c>
      <c r="AC29" s="99">
        <f ca="1">-MIN(W29+MIN(V29-C29-(X29*Irri_auto+E29*Irri_man),0),0)</f>
        <v>0</v>
      </c>
      <c r="AD29" s="39">
        <f ca="1">IF(((R29-AA29)/P29-((Wfc-Wwp)*Ze-Y29)/Ze)/Wfc*DiffE&lt;0,MAX(((R29-AA29)/P29-((Wfc-Wwp)*Ze-Y29)/Ze)/Wfc*DiffE,(R29*Ze-((Wfc-Wwp)*Ze-Y29-AA29)*P29)/(P29+Ze)-AA29),MIN(((R29-AA29)/P29-((Wfc-Wwp)*Ze-Y29)/Ze)/Wfc*DiffE,(R29*Ze-((Wfc-Wwp)*Ze-Y29-AA29)*P29)/(P29+Ze)-AA29))</f>
        <v>1.12430638404459e-8</v>
      </c>
      <c r="AE29" s="39">
        <f ca="1">IF(((R29-AA29)/P29-((Wfc-Wwp)*Ze-Z29)/Ze)/Wfc*DiffE&lt;0,MAX(((R29-AA29)/P29-((Wfc-Wwp)*Ze-Z29)/Ze)/Wfc*DiffE,(R29*Ze-((Wfc-Wwp)*Ze-Z29-AA29)*P29)/(P29+Ze)-AA29),MIN(((R29-AA29)/P29-((Wfc-Wwp)*Ze-Z29)/Ze)/Wfc*DiffE,(R29*Ze-((Wfc-Wwp)*Ze-Z29-AA29)*P29)/(P29+Ze)-AA29))</f>
        <v>-3.70263587901382e-8</v>
      </c>
      <c r="AF29" s="39">
        <f ca="1">IF(((S29-AB29)/Q29-(R29-AA29)/P29)/Wfc*DiffR&lt;0,MAX(((S29-AB29)/Q29-(R29-AA29)/P29)/Wfc*DiffR,(S29*P29-(R29-AA29-AB29)*Q29)/(P29+Q29)-AB29),MIN(((S29-AB29)/Q29-(R29-AA29)/P29)/Wfc*DiffR,(S29*P29-(R29-AA29-AB29)*Q29)/(P29+Q29)-AB29))</f>
        <v>8.12164966341934e-9</v>
      </c>
      <c r="AG29" s="99">
        <f ca="1">MIN(MAX(Y29+IF(AU29&gt;0,B29*AZ29/AU29,0)+BE29-AD29,0),TEW)</f>
        <v>7.67358889304084</v>
      </c>
      <c r="AH29" s="99">
        <f ca="1">MIN(MAX(Z29+IF(AV29&gt;0,B29*BA29/AV29,0)+BF29-AE29,0),TEW)</f>
        <v>5.12245998069133</v>
      </c>
      <c r="AI29" s="99">
        <f ca="1" t="shared" si="1"/>
        <v>11.3544271343545</v>
      </c>
      <c r="AJ29" s="99">
        <f ca="1" t="shared" si="2"/>
        <v>20.7776122277911</v>
      </c>
      <c r="AK29" s="70">
        <f ca="1">IF((AU29+AV29)&gt;0,(TEW-(AG29*AU29+AH29*AV29)/(AU29+AV29))/TEW,(TEW-(AG29+AH29)/2)/TEW)</f>
        <v>0.768344486247824</v>
      </c>
      <c r="AL29" s="70">
        <f ca="1" t="shared" si="3"/>
        <v>0.57196626592994</v>
      </c>
      <c r="AM29" s="70">
        <f ca="1" t="shared" si="4"/>
        <v>0.610005990080142</v>
      </c>
      <c r="AN29" s="70">
        <f ca="1">Wwp+(Wfc-Wwp)*IF((AU29+AV29)&gt;0,(TEW-(AG29*AU29+AH29*AV29)/(AU29+AV29))/TEW,(TEW-(AG29+AH29)/2)/TEW)</f>
        <v>0.369884783212217</v>
      </c>
      <c r="AO29" s="70">
        <f ca="1">Wwp+(Wfc-Wwp)*(R29-AI29)/R29</f>
        <v>0.344355614570892</v>
      </c>
      <c r="AP29" s="70">
        <f ca="1">Wwp+(Wfc-Wwp)*(S29-AJ29)/S29</f>
        <v>0.349300778710418</v>
      </c>
      <c r="AQ29" s="70"/>
      <c r="AR29" s="70"/>
      <c r="AS29" s="70"/>
      <c r="AT29" s="70"/>
      <c r="AU29" s="70">
        <f ca="1">MIN((1-G29),fw)</f>
        <v>0.832</v>
      </c>
      <c r="AV29" s="70">
        <f ca="1" t="shared" si="5"/>
        <v>0</v>
      </c>
      <c r="AW29" s="70">
        <f ca="1">MIN((TEW-Y29)/(TEW-REW),1)</f>
        <v>0.0992073019931719</v>
      </c>
      <c r="AX29" s="70">
        <f ca="1">MIN((TEW-Z29)/(TEW-REW),1)</f>
        <v>0.108480728753056</v>
      </c>
      <c r="AY29" s="70">
        <f ca="1">IF((AU29*(TEW-Y29))&gt;0,1/(1+((AV29*(TEW-Z29))/(AU29*(TEW-Y29)))),0)</f>
        <v>1</v>
      </c>
      <c r="AZ29" s="70">
        <f ca="1">MIN((AY29*AW29*(Kcmax-H29)),AU29*Kcmax)</f>
        <v>0.0952999749804361</v>
      </c>
      <c r="BA29" s="70">
        <f ca="1">MIN(((1-AY29)*AX29*(Kcmax-H29)),AV29*Kcmax)</f>
        <v>0</v>
      </c>
      <c r="BB29" s="70">
        <f ca="1" t="shared" si="6"/>
        <v>0.11588476957621</v>
      </c>
      <c r="BC29" s="70">
        <f ca="1">MIN((R29-AA29)/(R29*(1-(p+0.04*(5-I28)))),1)</f>
        <v>1</v>
      </c>
      <c r="BD29" s="10">
        <f ca="1" t="shared" si="7"/>
        <v>0.230292741280412</v>
      </c>
      <c r="BE29" s="70">
        <f ca="1">MIN(IF((1-AA29/R29)&gt;0,(1-Y29/TEW)/(1-AA29/R29)*(Ze/P29)^0.6,0),1)*BC29*H29*B29</f>
        <v>0.228665991552575</v>
      </c>
      <c r="BF29" s="70">
        <f ca="1">MIN(IF((1-AA29/R29)&gt;0,(1-Z29/TEW)/(1-AA29/R29)*(Ze/P29)^0.6,0),1)*BC29*H29*B29</f>
        <v>0.230292741280412</v>
      </c>
      <c r="BG29"/>
      <c r="BH29" s="10" t="str">
        <f ca="1" t="shared" si="8"/>
        <v/>
      </c>
      <c r="BI29" s="10" t="str">
        <f ca="1">IF(F29&lt;&gt;"",(Moy_Etobs-F29)^2,"")</f>
        <v/>
      </c>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c r="A30" s="38">
        <v>39023</v>
      </c>
      <c r="B30" s="10">
        <v>1.345</v>
      </c>
      <c r="C30" s="39">
        <v>0</v>
      </c>
      <c r="D30">
        <v>0.292</v>
      </c>
      <c r="E30" s="39">
        <v>0</v>
      </c>
      <c r="F30" s="10">
        <v>0.7212672</v>
      </c>
      <c r="G30" s="10">
        <f ca="1">MIN(MAX(IF(AND(Durpla&gt;ROW()-MATCH(NDVImax,INDEX(D:D,Lig_min,1):INDEX(D:D,Lig_max,1),0)-Lig_min+1,ROW()-MATCH(NDVImax,INDEX(D:D,Lig_min,1):INDEX(D:D,Lig_max,1),0)-Lig_min+1&gt;0,D30*a_fc+b_fc&gt;fc_fin),NDVImax*a_fc+b_fc,D30*a_fc+b_fc),0),1)</f>
        <v>0.189333333333333</v>
      </c>
      <c r="H30" s="55">
        <f>MIN(MAX(D30*a_kcb+b_kcb,0),Kcmax)</f>
        <v>0.213434427617341</v>
      </c>
      <c r="I30" s="70">
        <f ca="1" t="shared" si="0"/>
        <v>0.410257893214725</v>
      </c>
      <c r="J30"/>
      <c r="K30"/>
      <c r="L30"/>
      <c r="M30"/>
      <c r="N30"/>
      <c r="O30" s="55"/>
      <c r="P30" s="35">
        <f ca="1">IF(ROW()-MATCH(NDVImax,INDEX(D:D,Lig_min,1):INDEX(D:D,Lig_max,1),0)-Lig_min+1&gt;0,MAX(MIN(Zr_min+MAX(INDEX(G:G,Lig_min,1):INDEX(G:G,Lig_max,1))/MAX(MAX(INDEX(G:G,Lig_min,1):INDEX(G:G,Lig_max,1)),Max_fc_pour_Zrmax)*(Zr_max-Zr_min),Zr_max),Ze+0.001),MAX(MIN(Zr_min+G30/MAX(MAX(INDEX(G:G,Lig_min,1):INDEX(G:G,Lig_max,1)),Max_fc_pour_Zrmax)*(Zr_max-Zr_min),Zr_max),Ze+0.001))</f>
        <v>214.091949194629</v>
      </c>
      <c r="Q30" s="35">
        <f ca="1">IF(Z_sol&gt;0,Z_sol-P30,0.1)</f>
        <v>399.782601869805</v>
      </c>
      <c r="R30" s="35">
        <f ca="1">(Wfc-Wwp)*P30</f>
        <v>27.8319533953017</v>
      </c>
      <c r="S30" s="35">
        <f ca="1">(Wfc-Wwp)*Q30</f>
        <v>51.9717382430747</v>
      </c>
      <c r="T30" s="99">
        <f ca="1" t="shared" si="9"/>
        <v>7.67358889304084</v>
      </c>
      <c r="U30" s="99">
        <f ca="1" t="shared" si="10"/>
        <v>5.12245998069133</v>
      </c>
      <c r="V30" s="99">
        <f ca="1">IF(P30&gt;P29,IF(Q30&gt;1,MAX(AI29+(Wfc-Wwp)*(P30-P29)*AJ29/S29,0),AI29/P29*P30),MAX(AI29+(Wfc-Wwp)*(P30-P29)*AI29/R29,0))</f>
        <v>11.8633727622236</v>
      </c>
      <c r="W30" s="99">
        <f ca="1">IF(S30&gt;1,IF(P30&gt;P29,MAX(AJ29-(Wfc-Wwp)*(P30-P29)*AJ29/S29,0),MAX(AJ29-(Wfc-Wwp)*(P30-P29)*AI29/R29,0)),0)</f>
        <v>20.268666599922</v>
      </c>
      <c r="X30" s="99">
        <f ca="1">IF(AND(OR(AND(dec_vide_TAW&lt;0,V30&gt;R30*(p+0.04*(5-I29))),AND(dec_vide_TAW&gt;0,V30&gt;R30*dec_vide_TAW)),H30&gt;MAX(INDEX(H:H,Lig_min,1):INDEX(H:H,ROW(X30),1))*Kcbmax_stop_irrig*IF(ROW(X30)-lig_kcbmax&gt;0,1,0),MIN(INDEX(H:H,ROW(X30),1):INDEX(H:H,lig_kcbmax,1))&gt;Kcbmin_start_irrig),MIN(MAX(V30-E30*Irri_man-C30,0),Lame_max),0)</f>
        <v>0</v>
      </c>
      <c r="Y30" s="99">
        <f ca="1">MIN(MAX(T30-C30-IF(fw&gt;0,X30/fw*Irri_auto+E30/fw*Irri_man,0),0),TEW)</f>
        <v>7.67358889304084</v>
      </c>
      <c r="Z30" s="99">
        <f ca="1">MIN(MAX(U30-C30,0),TEW)</f>
        <v>5.12245998069133</v>
      </c>
      <c r="AA30" s="99">
        <f ca="1">MIN(MAX(V30-C30-(X30*Irri_auto+E30*Irri_man),0),R30)</f>
        <v>11.8633727622236</v>
      </c>
      <c r="AB30" s="99">
        <f ca="1">MIN(MAX(W30+MIN(V30-C30-(X30*Irri_auto+E30*Irri_man),0),0),S30)</f>
        <v>20.268666599922</v>
      </c>
      <c r="AC30" s="99">
        <f ca="1">-MIN(W30+MIN(V30-C30-(X30*Irri_auto+E30*Irri_man),0),0)</f>
        <v>0</v>
      </c>
      <c r="AD30" s="39">
        <f ca="1">IF(((R30-AA30)/P30-((Wfc-Wwp)*Ze-Y30)/Ze)/Wfc*DiffE&lt;0,MAX(((R30-AA30)/P30-((Wfc-Wwp)*Ze-Y30)/Ze)/Wfc*DiffE,(R30*Ze-((Wfc-Wwp)*Ze-Y30-AA30)*P30)/(P30+Ze)-AA30),MIN(((R30-AA30)/P30-((Wfc-Wwp)*Ze-Y30)/Ze)/Wfc*DiffE,(R30*Ze-((Wfc-Wwp)*Ze-Y30-AA30)*P30)/(P30+Ze)-AA30))</f>
        <v>1.49404971791839e-8</v>
      </c>
      <c r="AE30" s="39">
        <f ca="1">IF(((R30-AA30)/P30-((Wfc-Wwp)*Ze-Z30)/Ze)/Wfc*DiffE&lt;0,MAX(((R30-AA30)/P30-((Wfc-Wwp)*Ze-Z30)/Ze)/Wfc*DiffE,(R30*Ze-((Wfc-Wwp)*Ze-Z30-AA30)*P30)/(P30+Ze)-AA30),MIN(((R30-AA30)/P30-((Wfc-Wwp)*Ze-Z30)/Ze)/Wfc*DiffE,(R30*Ze-((Wfc-Wwp)*Ze-Z30-AA30)*P30)/(P30+Ze)-AA30))</f>
        <v>-3.60820810678063e-8</v>
      </c>
      <c r="AF30" s="39">
        <f ca="1">IF(((S30-AB30)/Q30-(R30-AA30)/P30)/Wfc*DiffR&lt;0,MAX(((S30-AB30)/Q30-(R30-AA30)/P30)/Wfc*DiffR,(S30*P30-(R30-AA30-AB30)*Q30)/(P30+Q30)-AB30),MIN(((S30-AB30)/Q30-(R30-AA30)/P30)/Wfc*DiffR,(S30*P30-(R30-AA30-AB30)*Q30)/(P30+Q30)-AB30))</f>
        <v>1.1783227457679e-8</v>
      </c>
      <c r="AG30" s="99">
        <f ca="1">MIN(MAX(Y30+IF(AU30&gt;0,B30*AZ30/AU30,0)+BE30-AD30,0),TEW)</f>
        <v>8.1039079007548</v>
      </c>
      <c r="AH30" s="99">
        <f ca="1">MIN(MAX(Z30+IF(AV30&gt;0,B30*BA30/AV30,0)+BF30-AE30,0),TEW)</f>
        <v>5.40952932191873</v>
      </c>
      <c r="AI30" s="99">
        <f ca="1" t="shared" si="1"/>
        <v>12.2736306436551</v>
      </c>
      <c r="AJ30" s="99">
        <f ca="1" t="shared" si="2"/>
        <v>20.2686666117052</v>
      </c>
      <c r="AK30" s="70">
        <f ca="1">IF((AU30+AV30)&gt;0,(TEW-(AG30*AU30+AH30*AV30)/(AU30+AV30))/TEW,(TEW-(AG30+AH30)/2)/TEW)</f>
        <v>0.755353723750799</v>
      </c>
      <c r="AL30" s="70">
        <f ca="1" t="shared" si="3"/>
        <v>0.559009370656427</v>
      </c>
      <c r="AM30" s="70">
        <f ca="1" t="shared" si="4"/>
        <v>0.610005989853418</v>
      </c>
      <c r="AN30" s="70">
        <f ca="1">Wwp+(Wfc-Wwp)*IF((AU30+AV30)&gt;0,(TEW-(AG30*AU30+AH30*AV30)/(AU30+AV30))/TEW,(TEW-(AG30+AH30)/2)/TEW)</f>
        <v>0.368195984087604</v>
      </c>
      <c r="AO30" s="70">
        <f ca="1">Wwp+(Wfc-Wwp)*(R30-AI30)/R30</f>
        <v>0.342671218185336</v>
      </c>
      <c r="AP30" s="70">
        <f ca="1">Wwp+(Wfc-Wwp)*(S30-AJ30)/S30</f>
        <v>0.349300778680944</v>
      </c>
      <c r="AQ30" s="70"/>
      <c r="AR30" s="70"/>
      <c r="AS30" s="70"/>
      <c r="AT30" s="70"/>
      <c r="AU30" s="70">
        <f ca="1">MIN((1-G30),fw)</f>
        <v>0.810666666666667</v>
      </c>
      <c r="AV30" s="70">
        <f ca="1" t="shared" si="5"/>
        <v>0</v>
      </c>
      <c r="AW30" s="70">
        <f ca="1">MIN((TEW-Y30)/(TEW-REW),1)</f>
        <v>0.0977935032048842</v>
      </c>
      <c r="AX30" s="70">
        <f ca="1">MIN((TEW-Z30)/(TEW-REW),1)</f>
        <v>0.107595860819457</v>
      </c>
      <c r="AY30" s="70">
        <f ca="1">IF((AU30*(TEW-Y30))&gt;0,1/(1+((AV30*(TEW-Z30))/(AU30*(TEW-Y30)))),0)</f>
        <v>1</v>
      </c>
      <c r="AZ30" s="70">
        <f ca="1">MIN((AY30*AW30*(Kcmax-H30)),AU30*Kcmax)</f>
        <v>0.0915900283043878</v>
      </c>
      <c r="BA30" s="70">
        <f ca="1">MIN(((1-AY30)*AX30*(Kcmax-H30)),AV30*Kcmax)</f>
        <v>0</v>
      </c>
      <c r="BB30" s="70">
        <f ca="1" t="shared" si="6"/>
        <v>0.123188588069402</v>
      </c>
      <c r="BC30" s="70">
        <f ca="1">MIN((R30-AA30)/(R30*(1-(p+0.04*(5-I29)))),1)</f>
        <v>1</v>
      </c>
      <c r="BD30" s="10">
        <f ca="1" t="shared" si="7"/>
        <v>0.287069305145323</v>
      </c>
      <c r="BE30" s="70">
        <f ca="1">MIN(IF((1-AA30/R30)&gt;0,(1-Y30/TEW)/(1-AA30/R30)*(Ze/P30)^0.6,0),1)*BC30*H30*B30</f>
        <v>0.278359415660952</v>
      </c>
      <c r="BF30" s="70">
        <f ca="1">MIN(IF((1-AA30/R30)&gt;0,(1-Z30/TEW)/(1-AA30/R30)*(Ze/P30)^0.6,0),1)*BC30*H30*B30</f>
        <v>0.287069305145323</v>
      </c>
      <c r="BG30"/>
      <c r="BH30" s="10">
        <f ca="1" t="shared" si="8"/>
        <v>0.0967267889070573</v>
      </c>
      <c r="BI30" s="10">
        <f ca="1">IF(F30&lt;&gt;"",(Moy_Etobs-F30)^2,"")</f>
        <v>0.787843297473248</v>
      </c>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c r="A31" s="38">
        <v>39024</v>
      </c>
      <c r="B31" s="10">
        <v>1.439</v>
      </c>
      <c r="C31" s="39">
        <v>0</v>
      </c>
      <c r="D31">
        <v>0.291</v>
      </c>
      <c r="E31" s="39">
        <v>0</v>
      </c>
      <c r="F31"/>
      <c r="G31" s="10">
        <f ca="1">MIN(MAX(IF(AND(Durpla&gt;ROW()-MATCH(NDVImax,INDEX(D:D,Lig_min,1):INDEX(D:D,Lig_max,1),0)-Lig_min+1,ROW()-MATCH(NDVImax,INDEX(D:D,Lig_min,1):INDEX(D:D,Lig_max,1),0)-Lig_min+1&gt;0,D31*a_fc+b_fc&gt;fc_fin),NDVImax*a_fc+b_fc,D31*a_fc+b_fc),0),1)</f>
        <v>0.188</v>
      </c>
      <c r="H31" s="55">
        <f>MIN(MAX(D31*a_kcb+b_kcb,0),Kcmax)</f>
        <v>0.211931368267923</v>
      </c>
      <c r="I31" s="70">
        <f ca="1" t="shared" si="0"/>
        <v>0.43474685945411</v>
      </c>
      <c r="J31"/>
      <c r="K31"/>
      <c r="L31"/>
      <c r="M31"/>
      <c r="N31"/>
      <c r="O31" s="55"/>
      <c r="P31" s="35">
        <f ca="1">IF(ROW()-MATCH(NDVImax,INDEX(D:D,Lig_min,1):INDEX(D:D,Lig_max,1),0)-Lig_min+1&gt;0,MAX(MIN(Zr_min+MAX(INDEX(G:G,Lig_min,1):INDEX(G:G,Lig_max,1))/MAX(MAX(INDEX(G:G,Lig_min,1):INDEX(G:G,Lig_max,1)),Max_fc_pour_Zrmax)*(Zr_max-Zr_min),Zr_max),Ze+0.001),MAX(MIN(Zr_min+G31/MAX(MAX(INDEX(G:G,Lig_min,1):INDEX(G:G,Lig_max,1)),Max_fc_pour_Zrmax)*(Zr_max-Zr_min),Zr_max),Ze+0.001))</f>
        <v>213.464541101709</v>
      </c>
      <c r="Q31" s="35">
        <f ca="1">IF(Z_sol&gt;0,Z_sol-P31,0.1)</f>
        <v>400.410009962725</v>
      </c>
      <c r="R31" s="35">
        <f ca="1">(Wfc-Wwp)*P31</f>
        <v>27.7503903432221</v>
      </c>
      <c r="S31" s="35">
        <f ca="1">(Wfc-Wwp)*Q31</f>
        <v>52.0533012951543</v>
      </c>
      <c r="T31" s="99">
        <f ca="1" t="shared" si="9"/>
        <v>8.1039079007548</v>
      </c>
      <c r="U31" s="99">
        <f ca="1" t="shared" si="10"/>
        <v>5.40952932191873</v>
      </c>
      <c r="V31" s="99">
        <f ca="1">IF(P31&gt;P30,IF(Q31&gt;1,MAX(AI30+(Wfc-Wwp)*(P31-P30)*AJ30/S30,0),AI30/P30*P31),MAX(AI30+(Wfc-Wwp)*(P31-P30)*AI30/R30,0))</f>
        <v>12.2376621019873</v>
      </c>
      <c r="W31" s="99">
        <f ca="1">IF(S31&gt;1,IF(P31&gt;P30,MAX(AJ30-(Wfc-Wwp)*(P31-P30)*AJ30/S30,0),MAX(AJ30-(Wfc-Wwp)*(P31-P30)*AI30/R30,0)),0)</f>
        <v>20.3046351533729</v>
      </c>
      <c r="X31" s="99">
        <f ca="1">IF(AND(OR(AND(dec_vide_TAW&lt;0,V31&gt;R31*(p+0.04*(5-I30))),AND(dec_vide_TAW&gt;0,V31&gt;R31*dec_vide_TAW)),H31&gt;MAX(INDEX(H:H,Lig_min,1):INDEX(H:H,ROW(X31),1))*Kcbmax_stop_irrig*IF(ROW(X31)-lig_kcbmax&gt;0,1,0),MIN(INDEX(H:H,ROW(X31),1):INDEX(H:H,lig_kcbmax,1))&gt;Kcbmin_start_irrig),MIN(MAX(V31-E31*Irri_man-C31,0),Lame_max),0)</f>
        <v>0</v>
      </c>
      <c r="Y31" s="99">
        <f ca="1">MIN(MAX(T31-C31-IF(fw&gt;0,X31/fw*Irri_auto+E31/fw*Irri_man,0),0),TEW)</f>
        <v>8.1039079007548</v>
      </c>
      <c r="Z31" s="99">
        <f ca="1">MIN(MAX(U31-C31,0),TEW)</f>
        <v>5.40952932191873</v>
      </c>
      <c r="AA31" s="99">
        <f ca="1">MIN(MAX(V31-C31-(X31*Irri_auto+E31*Irri_man),0),R31)</f>
        <v>12.2376621019873</v>
      </c>
      <c r="AB31" s="99">
        <f ca="1">MIN(MAX(W31+MIN(V31-C31-(X31*Irri_auto+E31*Irri_man),0),0),S31)</f>
        <v>20.3046351533729</v>
      </c>
      <c r="AC31" s="99">
        <f ca="1">-MIN(W31+MIN(V31-C31-(X31*Irri_auto+E31*Irri_man),0),0)</f>
        <v>0</v>
      </c>
      <c r="AD31" s="39">
        <f ca="1">IF(((R31-AA31)/P31-((Wfc-Wwp)*Ze-Y31)/Ze)/Wfc*DiffE&lt;0,MAX(((R31-AA31)/P31-((Wfc-Wwp)*Ze-Y31)/Ze)/Wfc*DiffE,(R31*Ze-((Wfc-Wwp)*Ze-Y31-AA31)*P31)/(P31+Ze)-AA31),MIN(((R31-AA31)/P31-((Wfc-Wwp)*Ze-Y31)/Ze)/Wfc*DiffE,(R31*Ze-((Wfc-Wwp)*Ze-Y31-AA31)*P31)/(P31+Ze)-AA31))</f>
        <v>1.87562034784348e-8</v>
      </c>
      <c r="AE31" s="39">
        <f ca="1">IF(((R31-AA31)/P31-((Wfc-Wwp)*Ze-Z31)/Ze)/Wfc*DiffE&lt;0,MAX(((R31-AA31)/P31-((Wfc-Wwp)*Ze-Z31)/Ze)/Wfc*DiffE,(R31*Ze-((Wfc-Wwp)*Ze-Z31-AA31)*P31)/(P31+Ze)-AA31),MIN(((R31-AA31)/P31-((Wfc-Wwp)*Ze-Z31)/Ze)/Wfc*DiffE,(R31*Ze-((Wfc-Wwp)*Ze-Z31-AA31)*P31)/(P31+Ze)-AA31))</f>
        <v>-3.51313680982865e-8</v>
      </c>
      <c r="AF31" s="39">
        <f ca="1">IF(((S31-AB31)/Q31-(R31-AA31)/P31)/Wfc*DiffR&lt;0,MAX(((S31-AB31)/Q31-(R31-AA31)/P31)/Wfc*DiffR,(S31*P31-(R31-AA31-AB31)*Q31)/(P31+Q31)-AB31),MIN(((S31-AB31)/Q31-(R31-AA31)/P31)/Wfc*DiffR,(S31*P31-(R31-AA31-AB31)*Q31)/(P31+Q31)-AB31))</f>
        <v>1.65479313593738e-8</v>
      </c>
      <c r="AG31" s="99">
        <f ca="1">MIN(MAX(Y31+IF(AU31&gt;0,B31*AZ31/AU31,0)+BE31-AD31,0),TEW)</f>
        <v>8.5626407753635</v>
      </c>
      <c r="AH31" s="99">
        <f ca="1">MIN(MAX(Z31+IF(AV31&gt;0,B31*BA31/AV31,0)+BF31-AE31,0),TEW)</f>
        <v>5.71449859598764</v>
      </c>
      <c r="AI31" s="99">
        <f ca="1" t="shared" si="1"/>
        <v>12.6724089448935</v>
      </c>
      <c r="AJ31" s="99">
        <f ca="1" t="shared" si="2"/>
        <v>20.3046351699209</v>
      </c>
      <c r="AK31" s="70">
        <f ca="1">IF((AU31+AV31)&gt;0,(TEW-(AG31*AU31+AH31*AV31)/(AU31+AV31))/TEW,(TEW-(AG31+AH31)/2)/TEW)</f>
        <v>0.74150518413997</v>
      </c>
      <c r="AL31" s="70">
        <f ca="1" t="shared" si="3"/>
        <v>0.543343038128159</v>
      </c>
      <c r="AM31" s="70">
        <f ca="1" t="shared" si="4"/>
        <v>0.60992608221352</v>
      </c>
      <c r="AN31" s="70">
        <f ca="1">Wwp+(Wfc-Wwp)*IF((AU31+AV31)&gt;0,(TEW-(AG31*AU31+AH31*AV31)/(AU31+AV31))/TEW,(TEW-(AG31+AH31)/2)/TEW)</f>
        <v>0.366395673938196</v>
      </c>
      <c r="AO31" s="70">
        <f ca="1">Wwp+(Wfc-Wwp)*(R31-AI31)/R31</f>
        <v>0.340634594956661</v>
      </c>
      <c r="AP31" s="70">
        <f ca="1">Wwp+(Wfc-Wwp)*(S31-AJ31)/S31</f>
        <v>0.349290390687758</v>
      </c>
      <c r="AQ31" s="70"/>
      <c r="AR31" s="70"/>
      <c r="AS31" s="70"/>
      <c r="AT31" s="70"/>
      <c r="AU31" s="70">
        <f ca="1">MIN((1-G31),fw)</f>
        <v>0.812</v>
      </c>
      <c r="AV31" s="70">
        <f ca="1" t="shared" si="5"/>
        <v>0</v>
      </c>
      <c r="AW31" s="70">
        <f ca="1">MIN((TEW-Y31)/(TEW-REW),1)</f>
        <v>0.096140062337376</v>
      </c>
      <c r="AX31" s="70">
        <f ca="1">MIN((TEW-Z31)/(TEW-REW),1)</f>
        <v>0.106492836848669</v>
      </c>
      <c r="AY31" s="70">
        <f ca="1">IF((AU31*(TEW-Y31))&gt;0,1/(1+((AV31*(TEW-Z31))/(AU31*(TEW-Y31)))),0)</f>
        <v>1</v>
      </c>
      <c r="AZ31" s="70">
        <f ca="1">MIN((AY31*AW31*(Kcmax-H31)),AU31*Kcmax)</f>
        <v>0.0901859767314589</v>
      </c>
      <c r="BA31" s="70">
        <f ca="1">MIN(((1-AY31)*AX31*(Kcmax-H31)),AV31*Kcmax)</f>
        <v>0</v>
      </c>
      <c r="BB31" s="70">
        <f ca="1" t="shared" si="6"/>
        <v>0.129777620516569</v>
      </c>
      <c r="BC31" s="70">
        <f ca="1">MIN((R31-AA31)/(R31*(1-(p+0.04*(5-I30)))),1)</f>
        <v>1</v>
      </c>
      <c r="BD31" s="10">
        <f ca="1" t="shared" si="7"/>
        <v>0.304969238937541</v>
      </c>
      <c r="BE31" s="70">
        <f ca="1">MIN(IF((1-AA31/R31)&gt;0,(1-Y31/TEW)/(1-AA31/R31)*(Ze/P31)^0.6,0),1)*BC31*H31*B31</f>
        <v>0.298908237556324</v>
      </c>
      <c r="BF31" s="70">
        <f ca="1">MIN(IF((1-AA31/R31)&gt;0,(1-Z31/TEW)/(1-AA31/R31)*(Ze/P31)^0.6,0),1)*BC31*H31*B31</f>
        <v>0.304969238937541</v>
      </c>
      <c r="BG31"/>
      <c r="BH31" s="10" t="str">
        <f ca="1" t="shared" si="8"/>
        <v/>
      </c>
      <c r="BI31" s="10" t="str">
        <f ca="1">IF(F31&lt;&gt;"",(Moy_Etobs-F31)^2,"")</f>
        <v/>
      </c>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c r="A32" s="38">
        <v>39025</v>
      </c>
      <c r="B32" s="10">
        <v>1.2</v>
      </c>
      <c r="C32" s="39">
        <v>0</v>
      </c>
      <c r="D32">
        <v>0.29</v>
      </c>
      <c r="E32" s="39">
        <v>0</v>
      </c>
      <c r="F32"/>
      <c r="G32" s="10">
        <f ca="1">MIN(MAX(IF(AND(Durpla&gt;ROW()-MATCH(NDVImax,INDEX(D:D,Lig_min,1):INDEX(D:D,Lig_max,1),0)-Lig_min+1,ROW()-MATCH(NDVImax,INDEX(D:D,Lig_min,1):INDEX(D:D,Lig_max,1),0)-Lig_min+1&gt;0,D32*a_fc+b_fc&gt;fc_fin),NDVImax*a_fc+b_fc,D32*a_fc+b_fc),0),1)</f>
        <v>0.186666666666667</v>
      </c>
      <c r="H32" s="55">
        <f>MIN(MAX(D32*a_kcb+b_kcb,0),Kcmax)</f>
        <v>0.210428308918505</v>
      </c>
      <c r="I32" s="70">
        <f ca="1" t="shared" si="0"/>
        <v>0.358923221581537</v>
      </c>
      <c r="J32"/>
      <c r="K32"/>
      <c r="L32"/>
      <c r="M32"/>
      <c r="N32"/>
      <c r="O32" s="55"/>
      <c r="P32" s="35">
        <f ca="1">IF(ROW()-MATCH(NDVImax,INDEX(D:D,Lig_min,1):INDEX(D:D,Lig_max,1),0)-Lig_min+1&gt;0,MAX(MIN(Zr_min+MAX(INDEX(G:G,Lig_min,1):INDEX(G:G,Lig_max,1))/MAX(MAX(INDEX(G:G,Lig_min,1):INDEX(G:G,Lig_max,1)),Max_fc_pour_Zrmax)*(Zr_max-Zr_min),Zr_max),Ze+0.001),MAX(MIN(Zr_min+G32/MAX(MAX(INDEX(G:G,Lig_min,1):INDEX(G:G,Lig_max,1)),Max_fc_pour_Zrmax)*(Zr_max-Zr_min),Zr_max),Ze+0.001))</f>
        <v>212.837133008789</v>
      </c>
      <c r="Q32" s="35">
        <f ca="1">IF(Z_sol&gt;0,Z_sol-P32,0.1)</f>
        <v>401.037418055645</v>
      </c>
      <c r="R32" s="35">
        <f ca="1">(Wfc-Wwp)*P32</f>
        <v>27.6688272911425</v>
      </c>
      <c r="S32" s="35">
        <f ca="1">(Wfc-Wwp)*Q32</f>
        <v>52.1348643472339</v>
      </c>
      <c r="T32" s="99">
        <f ca="1" t="shared" si="9"/>
        <v>8.5626407753635</v>
      </c>
      <c r="U32" s="99">
        <f ca="1" t="shared" si="10"/>
        <v>5.71449859598764</v>
      </c>
      <c r="V32" s="99">
        <f ca="1">IF(P32&gt;P31,IF(Q32&gt;1,MAX(AI31+(Wfc-Wwp)*(P32-P31)*AJ31/S31,0),AI31/P31*P32),MAX(AI31+(Wfc-Wwp)*(P32-P31)*AI31/R31,0))</f>
        <v>12.6351626093298</v>
      </c>
      <c r="W32" s="99">
        <f ca="1">IF(S32&gt;1,IF(P32&gt;P31,MAX(AJ31-(Wfc-Wwp)*(P32-P31)*AJ31/S31,0),MAX(AJ31-(Wfc-Wwp)*(P32-P31)*AI31/R31,0)),0)</f>
        <v>20.3418815054845</v>
      </c>
      <c r="X32" s="99">
        <f ca="1">IF(AND(OR(AND(dec_vide_TAW&lt;0,V32&gt;R32*(p+0.04*(5-I31))),AND(dec_vide_TAW&gt;0,V32&gt;R32*dec_vide_TAW)),H32&gt;MAX(INDEX(H:H,Lig_min,1):INDEX(H:H,ROW(X32),1))*Kcbmax_stop_irrig*IF(ROW(X32)-lig_kcbmax&gt;0,1,0),MIN(INDEX(H:H,ROW(X32),1):INDEX(H:H,lig_kcbmax,1))&gt;Kcbmin_start_irrig),MIN(MAX(V32-E32*Irri_man-C32,0),Lame_max),0)</f>
        <v>0</v>
      </c>
      <c r="Y32" s="99">
        <f ca="1">MIN(MAX(T32-C32-IF(fw&gt;0,X32/fw*Irri_auto+E32/fw*Irri_man,0),0),TEW)</f>
        <v>8.5626407753635</v>
      </c>
      <c r="Z32" s="99">
        <f ca="1">MIN(MAX(U32-C32,0),TEW)</f>
        <v>5.71449859598764</v>
      </c>
      <c r="AA32" s="99">
        <f ca="1">MIN(MAX(V32-C32-(X32*Irri_auto+E32*Irri_man),0),R32)</f>
        <v>12.6351626093298</v>
      </c>
      <c r="AB32" s="99">
        <f ca="1">MIN(MAX(W32+MIN(V32-C32-(X32*Irri_auto+E32*Irri_man),0),0),S32)</f>
        <v>20.3418815054845</v>
      </c>
      <c r="AC32" s="99">
        <f ca="1">-MIN(W32+MIN(V32-C32-(X32*Irri_auto+E32*Irri_man),0),0)</f>
        <v>0</v>
      </c>
      <c r="AD32" s="39">
        <f ca="1">IF(((R32-AA32)/P32-((Wfc-Wwp)*Ze-Y32)/Ze)/Wfc*DiffE&lt;0,MAX(((R32-AA32)/P32-((Wfc-Wwp)*Ze-Y32)/Ze)/Wfc*DiffE,(R32*Ze-((Wfc-Wwp)*Ze-Y32-AA32)*P32)/(P32+Ze)-AA32),MIN(((R32-AA32)/P32-((Wfc-Wwp)*Ze-Y32)/Ze)/Wfc*DiffE,(R32*Ze-((Wfc-Wwp)*Ze-Y32-AA32)*P32)/(P32+Ze)-AA32))</f>
        <v>2.28393028989215e-8</v>
      </c>
      <c r="AE32" s="39">
        <f ca="1">IF(((R32-AA32)/P32-((Wfc-Wwp)*Ze-Z32)/Ze)/Wfc*DiffE&lt;0,MAX(((R32-AA32)/P32-((Wfc-Wwp)*Ze-Z32)/Ze)/Wfc*DiffE,(R32*Ze-((Wfc-Wwp)*Ze-Z32-AA32)*P32)/(P32+Ze)-AA32),MIN(((R32-AA32)/P32-((Wfc-Wwp)*Ze-Z32)/Ze)/Wfc*DiffE,(R32*Ze-((Wfc-Wwp)*Ze-Z32-AA32)*P32)/(P32+Ze)-AA32))</f>
        <v>-3.41235406885957e-8</v>
      </c>
      <c r="AF32" s="39">
        <f ca="1">IF(((S32-AB32)/Q32-(R32-AA32)/P32)/Wfc*DiffR&lt;0,MAX(((S32-AB32)/Q32-(R32-AA32)/P32)/Wfc*DiffR,(S32*P32-(R32-AA32-AB32)*Q32)/(P32+Q32)-AB32),MIN(((S32-AB32)/Q32-(R32-AA32)/P32)/Wfc*DiffR,(S32*P32-(R32-AA32-AB32)*Q32)/(P32+Q32)-AB32))</f>
        <v>2.16056351532451e-8</v>
      </c>
      <c r="AG32" s="99">
        <f ca="1">MIN(MAX(Y32+IF(AU32&gt;0,B32*AZ32/AU32,0)+BE32-AD32,0),TEW)</f>
        <v>8.94387683743495</v>
      </c>
      <c r="AH32" s="99">
        <f ca="1">MIN(MAX(Z32+IF(AV32&gt;0,B32*BA32/AV32,0)+BF32-AE32,0),TEW)</f>
        <v>5.96701260081339</v>
      </c>
      <c r="AI32" s="99">
        <f ca="1" t="shared" si="1"/>
        <v>12.9940858093058</v>
      </c>
      <c r="AJ32" s="99">
        <f ca="1" t="shared" si="2"/>
        <v>20.3418815270902</v>
      </c>
      <c r="AK32" s="70">
        <f ca="1">IF((AU32+AV32)&gt;0,(TEW-(AG32*AU32+AH32*AV32)/(AU32+AV32))/TEW,(TEW-(AG32+AH32)/2)/TEW)</f>
        <v>0.72999617094536</v>
      </c>
      <c r="AL32" s="70">
        <f ca="1" t="shared" si="3"/>
        <v>0.530370923473671</v>
      </c>
      <c r="AM32" s="70">
        <f ca="1" t="shared" si="4"/>
        <v>0.60982191510834</v>
      </c>
      <c r="AN32" s="70">
        <f ca="1">Wwp+(Wfc-Wwp)*IF((AU32+AV32)&gt;0,(TEW-(AG32*AU32+AH32*AV32)/(AU32+AV32))/TEW,(TEW-(AG32+AH32)/2)/TEW)</f>
        <v>0.364899502222897</v>
      </c>
      <c r="AO32" s="70">
        <f ca="1">Wwp+(Wfc-Wwp)*(R32-AI32)/R32</f>
        <v>0.338948220051577</v>
      </c>
      <c r="AP32" s="70">
        <f ca="1">Wwp+(Wfc-Wwp)*(S32-AJ32)/S32</f>
        <v>0.349276848964084</v>
      </c>
      <c r="AQ32" s="70"/>
      <c r="AR32" s="70"/>
      <c r="AS32" s="70"/>
      <c r="AT32" s="70"/>
      <c r="AU32" s="70">
        <f ca="1">MIN((1-G32),fw)</f>
        <v>0.813333333333333</v>
      </c>
      <c r="AV32" s="70">
        <f ca="1" t="shared" si="5"/>
        <v>0</v>
      </c>
      <c r="AW32" s="70">
        <f ca="1">MIN((TEW-Y32)/(TEW-REW),1)</f>
        <v>0.0943774451428046</v>
      </c>
      <c r="AX32" s="70">
        <f ca="1">MIN((TEW-Z32)/(TEW-REW),1)</f>
        <v>0.105321034878409</v>
      </c>
      <c r="AY32" s="70">
        <f ca="1">IF((AU32*(TEW-Y32))&gt;0,1/(1+((AV32*(TEW-Z32))/(AU32*(TEW-Y32)))),0)</f>
        <v>1</v>
      </c>
      <c r="AZ32" s="70">
        <f ca="1">MIN((AY32*AW32*(Kcmax-H32)),AU32*Kcmax)</f>
        <v>0.0886743757327759</v>
      </c>
      <c r="BA32" s="70">
        <f ca="1">MIN(((1-AY32)*AX32*(Kcmax-H32)),AV32*Kcmax)</f>
        <v>0</v>
      </c>
      <c r="BB32" s="70">
        <f ca="1" t="shared" si="6"/>
        <v>0.106409250879331</v>
      </c>
      <c r="BC32" s="70">
        <f ca="1">MIN((R32-AA32)/(R32*(1-(p+0.04*(5-I31)))),1)</f>
        <v>1</v>
      </c>
      <c r="BD32" s="10">
        <f ca="1" t="shared" si="7"/>
        <v>0.252513970702206</v>
      </c>
      <c r="BE32" s="70">
        <f ca="1">MIN(IF((1-AA32/R32)&gt;0,(1-Y32/TEW)/(1-AA32/R32)*(Ze/P32)^0.6,0),1)*BC32*H32*B32</f>
        <v>0.250405038747643</v>
      </c>
      <c r="BF32" s="70">
        <f ca="1">MIN(IF((1-AA32/R32)&gt;0,(1-Z32/TEW)/(1-AA32/R32)*(Ze/P32)^0.6,0),1)*BC32*H32*B32</f>
        <v>0.252513970702206</v>
      </c>
      <c r="BG32"/>
      <c r="BH32" s="10" t="str">
        <f ca="1" t="shared" si="8"/>
        <v/>
      </c>
      <c r="BI32" s="10" t="str">
        <f ca="1">IF(F32&lt;&gt;"",(Moy_Etobs-F32)^2,"")</f>
        <v/>
      </c>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c r="A33" s="38">
        <v>39026</v>
      </c>
      <c r="B33" s="10">
        <v>1.147</v>
      </c>
      <c r="C33" s="39">
        <v>0</v>
      </c>
      <c r="D33">
        <v>0.288</v>
      </c>
      <c r="E33" s="39">
        <v>0</v>
      </c>
      <c r="F33" s="10">
        <v>0.3717018</v>
      </c>
      <c r="G33" s="10">
        <f ca="1">MIN(MAX(IF(AND(Durpla&gt;ROW()-MATCH(NDVImax,INDEX(D:D,Lig_min,1):INDEX(D:D,Lig_max,1),0)-Lig_min+1,ROW()-MATCH(NDVImax,INDEX(D:D,Lig_min,1):INDEX(D:D,Lig_max,1),0)-Lig_min+1&gt;0,D33*a_fc+b_fc&gt;fc_fin),NDVImax*a_fc+b_fc,D33*a_fc+b_fc),0),1)</f>
        <v>0.184</v>
      </c>
      <c r="H33" s="55">
        <f>MIN(MAX(D33*a_kcb+b_kcb,0),Kcmax)</f>
        <v>0.207422190219669</v>
      </c>
      <c r="I33" s="70">
        <f ca="1" t="shared" si="0"/>
        <v>0.338364476927895</v>
      </c>
      <c r="J33"/>
      <c r="K33"/>
      <c r="L33"/>
      <c r="M33"/>
      <c r="N33"/>
      <c r="O33" s="55"/>
      <c r="P33" s="35">
        <f ca="1">IF(ROW()-MATCH(NDVImax,INDEX(D:D,Lig_min,1):INDEX(D:D,Lig_max,1),0)-Lig_min+1&gt;0,MAX(MIN(Zr_min+MAX(INDEX(G:G,Lig_min,1):INDEX(G:G,Lig_max,1))/MAX(MAX(INDEX(G:G,Lig_min,1):INDEX(G:G,Lig_max,1)),Max_fc_pour_Zrmax)*(Zr_max-Zr_min),Zr_max),Ze+0.001),MAX(MIN(Zr_min+G33/MAX(MAX(INDEX(G:G,Lig_min,1):INDEX(G:G,Lig_max,1)),Max_fc_pour_Zrmax)*(Zr_max-Zr_min),Zr_max),Ze+0.001))</f>
        <v>211.582316822949</v>
      </c>
      <c r="Q33" s="35">
        <f ca="1">IF(Z_sol&gt;0,Z_sol-P33,0.1)</f>
        <v>402.292234241485</v>
      </c>
      <c r="R33" s="35">
        <f ca="1">(Wfc-Wwp)*P33</f>
        <v>27.5057011869834</v>
      </c>
      <c r="S33" s="35">
        <f ca="1">(Wfc-Wwp)*Q33</f>
        <v>52.2979904513931</v>
      </c>
      <c r="T33" s="99">
        <f ca="1" t="shared" si="9"/>
        <v>8.94387683743495</v>
      </c>
      <c r="U33" s="99">
        <f ca="1" t="shared" si="10"/>
        <v>5.96701260081339</v>
      </c>
      <c r="V33" s="99">
        <f ca="1">IF(P33&gt;P32,IF(Q33&gt;1,MAX(AI32+(Wfc-Wwp)*(P33-P32)*AJ32/S32,0),AI32/P32*P33),MAX(AI32+(Wfc-Wwp)*(P33-P32)*AI32/R32,0))</f>
        <v>12.9174770476521</v>
      </c>
      <c r="W33" s="99">
        <f ca="1">IF(S33&gt;1,IF(P33&gt;P32,MAX(AJ32-(Wfc-Wwp)*(P33-P32)*AJ32/S32,0),MAX(AJ32-(Wfc-Wwp)*(P33-P32)*AI32/R32,0)),0)</f>
        <v>20.4184902887438</v>
      </c>
      <c r="X33" s="99">
        <f ca="1">IF(AND(OR(AND(dec_vide_TAW&lt;0,V33&gt;R33*(p+0.04*(5-I32))),AND(dec_vide_TAW&gt;0,V33&gt;R33*dec_vide_TAW)),H33&gt;MAX(INDEX(H:H,Lig_min,1):INDEX(H:H,ROW(X33),1))*Kcbmax_stop_irrig*IF(ROW(X33)-lig_kcbmax&gt;0,1,0),MIN(INDEX(H:H,ROW(X33),1):INDEX(H:H,lig_kcbmax,1))&gt;Kcbmin_start_irrig),MIN(MAX(V33-E33*Irri_man-C33,0),Lame_max),0)</f>
        <v>0</v>
      </c>
      <c r="Y33" s="99">
        <f ca="1">MIN(MAX(T33-C33-IF(fw&gt;0,X33/fw*Irri_auto+E33/fw*Irri_man,0),0),TEW)</f>
        <v>8.94387683743495</v>
      </c>
      <c r="Z33" s="99">
        <f ca="1">MIN(MAX(U33-C33,0),TEW)</f>
        <v>5.96701260081339</v>
      </c>
      <c r="AA33" s="99">
        <f ca="1">MIN(MAX(V33-C33-(X33*Irri_auto+E33*Irri_man),0),R33)</f>
        <v>12.9174770476521</v>
      </c>
      <c r="AB33" s="99">
        <f ca="1">MIN(MAX(W33+MIN(V33-C33-(X33*Irri_auto+E33*Irri_man),0),0),S33)</f>
        <v>20.4184902887438</v>
      </c>
      <c r="AC33" s="99">
        <f ca="1">-MIN(W33+MIN(V33-C33-(X33*Irri_auto+E33*Irri_man),0),0)</f>
        <v>0</v>
      </c>
      <c r="AD33" s="39">
        <f ca="1">IF(((R33-AA33)/P33-((Wfc-Wwp)*Ze-Y33)/Ze)/Wfc*DiffE&lt;0,MAX(((R33-AA33)/P33-((Wfc-Wwp)*Ze-Y33)/Ze)/Wfc*DiffE,(R33*Ze-((Wfc-Wwp)*Ze-Y33-AA33)*P33)/(P33+Ze)-AA33),MIN(((R33-AA33)/P33-((Wfc-Wwp)*Ze-Y33)/Ze)/Wfc*DiffE,(R33*Ze-((Wfc-Wwp)*Ze-Y33-AA33)*P33)/(P33+Ze)-AA33))</f>
        <v>2.62480868776422e-8</v>
      </c>
      <c r="AE33" s="39">
        <f ca="1">IF(((R33-AA33)/P33-((Wfc-Wwp)*Ze-Z33)/Ze)/Wfc*DiffE&lt;0,MAX(((R33-AA33)/P33-((Wfc-Wwp)*Ze-Z33)/Ze)/Wfc*DiffE,(R33*Ze-((Wfc-Wwp)*Ze-Z33-AA33)*P33)/(P33+Ze)-AA33),MIN(((R33-AA33)/P33-((Wfc-Wwp)*Ze-Z33)/Ze)/Wfc*DiffE,(R33*Ze-((Wfc-Wwp)*Ze-Z33-AA33)*P33)/(P33+Ze)-AA33))</f>
        <v>-3.32891978547891e-8</v>
      </c>
      <c r="AF33" s="39">
        <f ca="1">IF(((S33-AB33)/Q33-(R33-AA33)/P33)/Wfc*DiffR&lt;0,MAX(((S33-AB33)/Q33-(R33-AA33)/P33)/Wfc*DiffR,(S33*P33-(R33-AA33-AB33)*Q33)/(P33+Q33)-AB33),MIN(((S33-AB33)/Q33-(R33-AA33)/P33)/Wfc*DiffR,(S33*P33-(R33-AA33-AB33)*Q33)/(P33+Q33)-AB33))</f>
        <v>2.57410305156442e-8</v>
      </c>
      <c r="AG33" s="99">
        <f ca="1">MIN(MAX(Y33+IF(AU33&gt;0,B33*AZ33/AU33,0)+BE33-AD33,0),TEW)</f>
        <v>9.30489205447904</v>
      </c>
      <c r="AH33" s="99">
        <f ca="1">MIN(MAX(Z33+IF(AV33&gt;0,B33*BA33/AV33,0)+BF33-AE33,0),TEW)</f>
        <v>6.20492588628455</v>
      </c>
      <c r="AI33" s="99">
        <f ca="1" t="shared" si="1"/>
        <v>13.255841498839</v>
      </c>
      <c r="AJ33" s="99">
        <f ca="1" t="shared" si="2"/>
        <v>20.4184903144848</v>
      </c>
      <c r="AK33" s="70">
        <f ca="1">IF((AU33+AV33)&gt;0,(TEW-(AG33*AU33+AH33*AV33)/(AU33+AV33))/TEW,(TEW-(AG33+AH33)/2)/TEW)</f>
        <v>0.71909759835535</v>
      </c>
      <c r="AL33" s="70">
        <f ca="1" t="shared" si="3"/>
        <v>0.51806931193188</v>
      </c>
      <c r="AM33" s="70">
        <f ca="1" t="shared" si="4"/>
        <v>0.609574093798839</v>
      </c>
      <c r="AN33" s="70">
        <f ca="1">Wwp+(Wfc-Wwp)*IF((AU33+AV33)&gt;0,(TEW-(AG33*AU33+AH33*AV33)/(AU33+AV33))/TEW,(TEW-(AG33+AH33)/2)/TEW)</f>
        <v>0.363482687786195</v>
      </c>
      <c r="AO33" s="70">
        <f ca="1">Wwp+(Wfc-Wwp)*(R33-AI33)/R33</f>
        <v>0.337349010551144</v>
      </c>
      <c r="AP33" s="70">
        <f ca="1">Wwp+(Wfc-Wwp)*(S33-AJ33)/S33</f>
        <v>0.349244632193849</v>
      </c>
      <c r="AQ33" s="70"/>
      <c r="AR33" s="70"/>
      <c r="AS33" s="70"/>
      <c r="AT33" s="70"/>
      <c r="AU33" s="70">
        <f ca="1">MIN((1-G33),fw)</f>
        <v>0.816</v>
      </c>
      <c r="AV33" s="70">
        <f ca="1" t="shared" si="5"/>
        <v>0</v>
      </c>
      <c r="AW33" s="70">
        <f ca="1">MIN((TEW-Y33)/(TEW-REW),1)</f>
        <v>0.0929125986593887</v>
      </c>
      <c r="AX33" s="70">
        <f ca="1">MIN((TEW-Z33)/(TEW-REW),1)</f>
        <v>0.104350784976098</v>
      </c>
      <c r="AY33" s="70">
        <f ca="1">IF((AU33*(TEW-Y33))&gt;0,1/(1+((AV33*(TEW-Z33))/(AU33*(TEW-Y33)))),0)</f>
        <v>1</v>
      </c>
      <c r="AZ33" s="70">
        <f ca="1">MIN((AY33*AW33*(Kcmax-H33)),AU33*Kcmax)</f>
        <v>0.0875773537453655</v>
      </c>
      <c r="BA33" s="70">
        <f ca="1">MIN(((1-AY33)*AX33*(Kcmax-H33)),AV33*Kcmax)</f>
        <v>0</v>
      </c>
      <c r="BB33" s="70">
        <f ca="1" t="shared" si="6"/>
        <v>0.100451224745934</v>
      </c>
      <c r="BC33" s="70">
        <f ca="1">MIN((R33-AA33)/(R33*(1-(p+0.04*(5-I32)))),1)</f>
        <v>1</v>
      </c>
      <c r="BD33" s="10">
        <f ca="1" t="shared" si="7"/>
        <v>0.237913252181961</v>
      </c>
      <c r="BE33" s="70">
        <f ca="1">MIN(IF((1-AA33/R33)&gt;0,(1-Y33/TEW)/(1-AA33/R33)*(Ze/P33)^0.6,0),1)*BC33*H33*B33</f>
        <v>0.237913252181961</v>
      </c>
      <c r="BF33" s="70">
        <f ca="1">MIN(IF((1-AA33/R33)&gt;0,(1-Z33/TEW)/(1-AA33/R33)*(Ze/P33)^0.6,0),1)*BC33*H33*B33</f>
        <v>0.237913252181961</v>
      </c>
      <c r="BG33"/>
      <c r="BH33" s="10">
        <f ca="1" t="shared" si="8"/>
        <v>0.00111137710961392</v>
      </c>
      <c r="BI33" s="10">
        <f ca="1">IF(F33&lt;&gt;"",(Moy_Etobs-F33)^2,"")</f>
        <v>1.53059152058246</v>
      </c>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c r="A34" s="38">
        <v>39027</v>
      </c>
      <c r="B34" s="10">
        <v>1.048</v>
      </c>
      <c r="C34" s="39">
        <v>0.198</v>
      </c>
      <c r="D34">
        <v>0.296</v>
      </c>
      <c r="E34" s="39">
        <v>0</v>
      </c>
      <c r="F34" s="10">
        <v>0.3807936</v>
      </c>
      <c r="G34" s="10">
        <f ca="1">MIN(MAX(IF(AND(Durpla&gt;ROW()-MATCH(NDVImax,INDEX(D:D,Lig_min,1):INDEX(D:D,Lig_max,1),0)-Lig_min+1,ROW()-MATCH(NDVImax,INDEX(D:D,Lig_min,1):INDEX(D:D,Lig_max,1),0)-Lig_min+1&gt;0,D34*a_fc+b_fc&gt;fc_fin),NDVImax*a_fc+b_fc,D34*a_fc+b_fc),0),1)</f>
        <v>0.194666666666667</v>
      </c>
      <c r="H34" s="55">
        <f>MIN(MAX(D34*a_kcb+b_kcb,0),Kcmax)</f>
        <v>0.219446665015012</v>
      </c>
      <c r="I34" s="70">
        <f ca="1" t="shared" si="0"/>
        <v>0.319979477725621</v>
      </c>
      <c r="J34"/>
      <c r="K34"/>
      <c r="L34"/>
      <c r="M34"/>
      <c r="N34"/>
      <c r="O34" s="55"/>
      <c r="P34" s="35">
        <f ca="1">IF(ROW()-MATCH(NDVImax,INDEX(D:D,Lig_min,1):INDEX(D:D,Lig_max,1),0)-Lig_min+1&gt;0,MAX(MIN(Zr_min+MAX(INDEX(G:G,Lig_min,1):INDEX(G:G,Lig_max,1))/MAX(MAX(INDEX(G:G,Lig_min,1):INDEX(G:G,Lig_max,1)),Max_fc_pour_Zrmax)*(Zr_max-Zr_min),Zr_max),Ze+0.001),MAX(MIN(Zr_min+G34/MAX(MAX(INDEX(G:G,Lig_min,1):INDEX(G:G,Lig_max,1)),Max_fc_pour_Zrmax)*(Zr_max-Zr_min),Zr_max),Ze+0.001))</f>
        <v>216.601581566308</v>
      </c>
      <c r="Q34" s="35">
        <f ca="1">IF(Z_sol&gt;0,Z_sol-P34,0.1)</f>
        <v>397.272969498126</v>
      </c>
      <c r="R34" s="35">
        <f ca="1">(Wfc-Wwp)*P34</f>
        <v>28.1582056036201</v>
      </c>
      <c r="S34" s="35">
        <f ca="1">(Wfc-Wwp)*Q34</f>
        <v>51.6454860347563</v>
      </c>
      <c r="T34" s="99">
        <f ca="1" t="shared" si="9"/>
        <v>9.30489205447904</v>
      </c>
      <c r="U34" s="99">
        <f ca="1" t="shared" si="10"/>
        <v>6.20492588628455</v>
      </c>
      <c r="V34" s="99">
        <f ca="1">IF(P34&gt;P33,IF(Q34&gt;1,MAX(AI33+(Wfc-Wwp)*(P34-P33)*AJ33/S33,0),AI33/P33*P34),MAX(AI33+(Wfc-Wwp)*(P34-P33)*AI33/R33,0))</f>
        <v>13.5105961270047</v>
      </c>
      <c r="W34" s="99">
        <f ca="1">IF(S34&gt;1,IF(P34&gt;P33,MAX(AJ33-(Wfc-Wwp)*(P34-P33)*AJ33/S33,0),MAX(AJ33-(Wfc-Wwp)*(P34-P33)*AI33/R33,0)),0)</f>
        <v>20.1637356863192</v>
      </c>
      <c r="X34" s="99">
        <f ca="1">IF(AND(OR(AND(dec_vide_TAW&lt;0,V34&gt;R34*(p+0.04*(5-I33))),AND(dec_vide_TAW&gt;0,V34&gt;R34*dec_vide_TAW)),H34&gt;MAX(INDEX(H:H,Lig_min,1):INDEX(H:H,ROW(X34),1))*Kcbmax_stop_irrig*IF(ROW(X34)-lig_kcbmax&gt;0,1,0),MIN(INDEX(H:H,ROW(X34),1):INDEX(H:H,lig_kcbmax,1))&gt;Kcbmin_start_irrig),MIN(MAX(V34-E34*Irri_man-C34,0),Lame_max),0)</f>
        <v>0</v>
      </c>
      <c r="Y34" s="99">
        <f ca="1">MIN(MAX(T34-C34-IF(fw&gt;0,X34/fw*Irri_auto+E34/fw*Irri_man,0),0),TEW)</f>
        <v>9.10689205447904</v>
      </c>
      <c r="Z34" s="99">
        <f ca="1">MIN(MAX(U34-C34,0),TEW)</f>
        <v>6.00692588628455</v>
      </c>
      <c r="AA34" s="99">
        <f ca="1">MIN(MAX(V34-C34-(X34*Irri_auto+E34*Irri_man),0),R34)</f>
        <v>13.3125961270047</v>
      </c>
      <c r="AB34" s="99">
        <f ca="1">MIN(MAX(W34+MIN(V34-C34-(X34*Irri_auto+E34*Irri_man),0),0),S34)</f>
        <v>20.1637356863192</v>
      </c>
      <c r="AC34" s="99">
        <f ca="1">-MIN(W34+MIN(V34-C34-(X34*Irri_auto+E34*Irri_man),0),0)</f>
        <v>0</v>
      </c>
      <c r="AD34" s="39">
        <f ca="1">IF(((R34-AA34)/P34-((Wfc-Wwp)*Ze-Y34)/Ze)/Wfc*DiffE&lt;0,MAX(((R34-AA34)/P34-((Wfc-Wwp)*Ze-Y34)/Ze)/Wfc*DiffE,(R34*Ze-((Wfc-Wwp)*Ze-Y34-AA34)*P34)/(P34+Ze)-AA34),MIN(((R34-AA34)/P34-((Wfc-Wwp)*Ze-Y34)/Ze)/Wfc*DiffE,(R34*Ze-((Wfc-Wwp)*Ze-Y34-AA34)*P34)/(P34+Ze)-AA34))</f>
        <v>2.84848064402324e-8</v>
      </c>
      <c r="AE34" s="39">
        <f ca="1">IF(((R34-AA34)/P34-((Wfc-Wwp)*Ze-Z34)/Ze)/Wfc*DiffE&lt;0,MAX(((R34-AA34)/P34-((Wfc-Wwp)*Ze-Z34)/Ze)/Wfc*DiffE,(R34*Ze-((Wfc-Wwp)*Ze-Z34-AA34)*P34)/(P34+Ze)-AA34),MIN(((R34-AA34)/P34-((Wfc-Wwp)*Ze-Z34)/Ze)/Wfc*DiffE,(R34*Ze-((Wfc-Wwp)*Ze-Z34-AA34)*P34)/(P34+Ze)-AA34))</f>
        <v>-3.35145169236575e-8</v>
      </c>
      <c r="AF34" s="39">
        <f ca="1">IF(((S34-AB34)/Q34-(R34-AA34)/P34)/Wfc*DiffR&lt;0,MAX(((S34-AB34)/Q34-(R34-AA34)/P34)/Wfc*DiffR,(S34*P34-(R34-AA34-AB34)*Q34)/(P34+Q34)-AB34),MIN(((S34-AB34)/Q34-(R34-AA34)/P34)/Wfc*DiffR,(S34*P34-(R34-AA34-AB34)*Q34)/(P34+Q34)-AB34))</f>
        <v>2.67646151339709e-8</v>
      </c>
      <c r="AG34" s="99">
        <f ca="1">MIN(MAX(Y34+IF(AU34&gt;0,B34*AZ34/AU34,0)+BE34-AD34,0),TEW)</f>
        <v>9.44606647354264</v>
      </c>
      <c r="AH34" s="99">
        <f ca="1">MIN(MAX(Z34+IF(AV34&gt;0,B34*BA34/AV34,0)+BF34-AE34,0),TEW)</f>
        <v>6.2369060247348</v>
      </c>
      <c r="AI34" s="99">
        <f ca="1" t="shared" si="1"/>
        <v>13.6325755779657</v>
      </c>
      <c r="AJ34" s="99">
        <f ca="1" t="shared" si="2"/>
        <v>20.1637357130838</v>
      </c>
      <c r="AK34" s="70">
        <f ca="1">IF((AU34+AV34)&gt;0,(TEW-(AG34*AU34+AH34*AV34)/(AU34+AV34))/TEW,(TEW-(AG34+AH34)/2)/TEW)</f>
        <v>0.714835729100599</v>
      </c>
      <c r="AL34" s="70">
        <f ca="1" t="shared" si="3"/>
        <v>0.51585780110175</v>
      </c>
      <c r="AM34" s="70">
        <f ca="1" t="shared" si="4"/>
        <v>0.609574093280601</v>
      </c>
      <c r="AN34" s="70">
        <f ca="1">Wwp+(Wfc-Wwp)*IF((AU34+AV34)&gt;0,(TEW-(AG34*AU34+AH34*AV34)/(AU34+AV34))/TEW,(TEW-(AG34+AH34)/2)/TEW)</f>
        <v>0.362928644783078</v>
      </c>
      <c r="AO34" s="70">
        <f ca="1">Wwp+(Wfc-Wwp)*(R34-AI34)/R34</f>
        <v>0.337061514143227</v>
      </c>
      <c r="AP34" s="70">
        <f ca="1">Wwp+(Wfc-Wwp)*(S34-AJ34)/S34</f>
        <v>0.349244632126478</v>
      </c>
      <c r="AQ34" s="70"/>
      <c r="AR34" s="70"/>
      <c r="AS34" s="70"/>
      <c r="AT34" s="70"/>
      <c r="AU34" s="70">
        <f ca="1">MIN((1-G34),fw)</f>
        <v>0.805333333333333</v>
      </c>
      <c r="AV34" s="70">
        <f ca="1" t="shared" si="5"/>
        <v>0</v>
      </c>
      <c r="AW34" s="70">
        <f ca="1">MIN((TEW-Y34)/(TEW-REW),1)</f>
        <v>0.0922862353868986</v>
      </c>
      <c r="AX34" s="70">
        <f ca="1">MIN((TEW-Z34)/(TEW-REW),1)</f>
        <v>0.104197423734387</v>
      </c>
      <c r="AY34" s="70">
        <f ca="1">IF((AU34*(TEW-Y34))&gt;0,1/(1+((AV34*(TEW-Z34))/(AU34*(TEW-Y34)))),0)</f>
        <v>1</v>
      </c>
      <c r="AZ34" s="70">
        <f ca="1">MIN((AY34*AW34*(Kcmax-H34)),AU34*Kcmax)</f>
        <v>0.085877264112488</v>
      </c>
      <c r="BA34" s="70">
        <f ca="1">MIN(((1-AY34)*AX34*(Kcmax-H34)),AV34*Kcmax)</f>
        <v>0</v>
      </c>
      <c r="BB34" s="70">
        <f ca="1" t="shared" si="6"/>
        <v>0.0899993727898875</v>
      </c>
      <c r="BC34" s="70">
        <f ca="1">MIN((R34-AA34)/(R34*(1-(p+0.04*(5-I33)))),1)</f>
        <v>1</v>
      </c>
      <c r="BD34" s="10">
        <f ca="1" t="shared" si="7"/>
        <v>0.229980104935733</v>
      </c>
      <c r="BE34" s="70">
        <f ca="1">MIN(IF((1-AA34/R34)&gt;0,(1-Y34/TEW)/(1-AA34/R34)*(Ze/P34)^0.6,0),1)*BC34*H34*B34</f>
        <v>0.227420259481497</v>
      </c>
      <c r="BF34" s="70">
        <f ca="1">MIN(IF((1-AA34/R34)&gt;0,(1-Z34/TEW)/(1-AA34/R34)*(Ze/P34)^0.6,0),1)*BC34*H34*B34</f>
        <v>0.229980104935733</v>
      </c>
      <c r="BG34"/>
      <c r="BH34" s="10">
        <f ca="1" t="shared" si="8"/>
        <v>0.00369835746800318</v>
      </c>
      <c r="BI34" s="10">
        <f ca="1">IF(F34&lt;&gt;"",(Moy_Etobs-F34)^2,"")</f>
        <v>1.508177962949</v>
      </c>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c r="A35" s="38">
        <v>39028</v>
      </c>
      <c r="B35" s="10">
        <v>1.316</v>
      </c>
      <c r="C35" s="39">
        <v>0</v>
      </c>
      <c r="D35">
        <v>0.304</v>
      </c>
      <c r="E35" s="39">
        <v>0</v>
      </c>
      <c r="F35" s="10">
        <v>0.254241</v>
      </c>
      <c r="G35" s="10">
        <f ca="1">MIN(MAX(IF(AND(Durpla&gt;ROW()-MATCH(NDVImax,INDEX(D:D,Lig_min,1):INDEX(D:D,Lig_max,1),0)-Lig_min+1,ROW()-MATCH(NDVImax,INDEX(D:D,Lig_min,1):INDEX(D:D,Lig_max,1),0)-Lig_min+1&gt;0,D35*a_fc+b_fc&gt;fc_fin),NDVImax*a_fc+b_fc,D35*a_fc+b_fc),0),1)</f>
        <v>0.205333333333333</v>
      </c>
      <c r="H35" s="55">
        <f>MIN(MAX(D35*a_kcb+b_kcb,0),Kcmax)</f>
        <v>0.231471139810356</v>
      </c>
      <c r="I35" s="70">
        <f ca="1" t="shared" si="0"/>
        <v>0.414594818778623</v>
      </c>
      <c r="J35"/>
      <c r="K35"/>
      <c r="L35"/>
      <c r="M35"/>
      <c r="N35"/>
      <c r="O35" s="55"/>
      <c r="P35" s="35">
        <f ca="1">IF(ROW()-MATCH(NDVImax,INDEX(D:D,Lig_min,1):INDEX(D:D,Lig_max,1),0)-Lig_min+1&gt;0,MAX(MIN(Zr_min+MAX(INDEX(G:G,Lig_min,1):INDEX(G:G,Lig_max,1))/MAX(MAX(INDEX(G:G,Lig_min,1):INDEX(G:G,Lig_max,1)),Max_fc_pour_Zrmax)*(Zr_max-Zr_min),Zr_max),Ze+0.001),MAX(MIN(Zr_min+G35/MAX(MAX(INDEX(G:G,Lig_min,1):INDEX(G:G,Lig_max,1)),Max_fc_pour_Zrmax)*(Zr_max-Zr_min),Zr_max),Ze+0.001))</f>
        <v>221.620846309668</v>
      </c>
      <c r="Q35" s="35">
        <f ca="1">IF(Z_sol&gt;0,Z_sol-P35,0.1)</f>
        <v>392.253704754766</v>
      </c>
      <c r="R35" s="35">
        <f ca="1">(Wfc-Wwp)*P35</f>
        <v>28.8107100202568</v>
      </c>
      <c r="S35" s="35">
        <f ca="1">(Wfc-Wwp)*Q35</f>
        <v>50.9929816181196</v>
      </c>
      <c r="T35" s="99">
        <f ca="1" t="shared" si="9"/>
        <v>9.44606647354264</v>
      </c>
      <c r="U35" s="99">
        <f ca="1" t="shared" si="10"/>
        <v>6.2369060247348</v>
      </c>
      <c r="V35" s="99">
        <f ca="1">IF(P35&gt;P34,IF(Q35&gt;1,MAX(AI34+(Wfc-Wwp)*(P35-P34)*AJ34/S34,0),AI34/P34*P35),MAX(AI34+(Wfc-Wwp)*(P35-P34)*AI34/R34,0))</f>
        <v>13.8873302064695</v>
      </c>
      <c r="W35" s="99">
        <f ca="1">IF(S35&gt;1,IF(P35&gt;P34,MAX(AJ34-(Wfc-Wwp)*(P35-P34)*AJ34/S34,0),MAX(AJ34-(Wfc-Wwp)*(P35-P34)*AI34/R34,0)),0)</f>
        <v>19.90898108458</v>
      </c>
      <c r="X35" s="99">
        <f ca="1">IF(AND(OR(AND(dec_vide_TAW&lt;0,V35&gt;R35*(p+0.04*(5-I34))),AND(dec_vide_TAW&gt;0,V35&gt;R35*dec_vide_TAW)),H35&gt;MAX(INDEX(H:H,Lig_min,1):INDEX(H:H,ROW(X35),1))*Kcbmax_stop_irrig*IF(ROW(X35)-lig_kcbmax&gt;0,1,0),MIN(INDEX(H:H,ROW(X35),1):INDEX(H:H,lig_kcbmax,1))&gt;Kcbmin_start_irrig),MIN(MAX(V35-E35*Irri_man-C35,0),Lame_max),0)</f>
        <v>0</v>
      </c>
      <c r="Y35" s="99">
        <f ca="1">MIN(MAX(T35-C35-IF(fw&gt;0,X35/fw*Irri_auto+E35/fw*Irri_man,0),0),TEW)</f>
        <v>9.44606647354264</v>
      </c>
      <c r="Z35" s="99">
        <f ca="1">MIN(MAX(U35-C35,0),TEW)</f>
        <v>6.2369060247348</v>
      </c>
      <c r="AA35" s="99">
        <f ca="1">MIN(MAX(V35-C35-(X35*Irri_auto+E35*Irri_man),0),R35)</f>
        <v>13.8873302064695</v>
      </c>
      <c r="AB35" s="99">
        <f ca="1">MIN(MAX(W35+MIN(V35-C35-(X35*Irri_auto+E35*Irri_man),0),0),S35)</f>
        <v>19.90898108458</v>
      </c>
      <c r="AC35" s="99">
        <f ca="1">-MIN(W35+MIN(V35-C35-(X35*Irri_auto+E35*Irri_man),0),0)</f>
        <v>0</v>
      </c>
      <c r="AD35" s="39">
        <f ca="1">IF(((R35-AA35)/P35-((Wfc-Wwp)*Ze-Y35)/Ze)/Wfc*DiffE&lt;0,MAX(((R35-AA35)/P35-((Wfc-Wwp)*Ze-Y35)/Ze)/Wfc*DiffE,(R35*Ze-((Wfc-Wwp)*Ze-Y35-AA35)*P35)/(P35+Ze)-AA35),MIN(((R35-AA35)/P35-((Wfc-Wwp)*Ze-Y35)/Ze)/Wfc*DiffE,(R35*Ze-((Wfc-Wwp)*Ze-Y35-AA35)*P35)/(P35+Ze)-AA35))</f>
        <v>3.22649223941367e-8</v>
      </c>
      <c r="AE35" s="39">
        <f ca="1">IF(((R35-AA35)/P35-((Wfc-Wwp)*Ze-Z35)/Ze)/Wfc*DiffE&lt;0,MAX(((R35-AA35)/P35-((Wfc-Wwp)*Ze-Z35)/Ze)/Wfc*DiffE,(R35*Ze-((Wfc-Wwp)*Ze-Z35-AA35)*P35)/(P35+Ze)-AA35),MIN(((R35-AA35)/P35-((Wfc-Wwp)*Ze-Z35)/Ze)/Wfc*DiffE,(R35*Ze-((Wfc-Wwp)*Ze-Z35-AA35)*P35)/(P35+Ze)-AA35))</f>
        <v>-3.19182865820202e-8</v>
      </c>
      <c r="AF35" s="39">
        <f ca="1">IF(((S35-AB35)/Q35-(R35-AA35)/P35)/Wfc*DiffR&lt;0,MAX(((S35-AB35)/Q35-(R35-AA35)/P35)/Wfc*DiffR,(S35*P35-(R35-AA35-AB35)*Q35)/(P35+Q35)-AB35),MIN(((S35-AB35)/Q35-(R35-AA35)/P35)/Wfc*DiffR,(S35*P35-(R35-AA35-AB35)*Q35)/(P35+Q35)-AB35))</f>
        <v>2.97679873929117e-8</v>
      </c>
      <c r="AG35" s="99">
        <f ca="1">MIN(MAX(Y35+IF(AU35&gt;0,B35*AZ35/AU35,0)+BE35-AD35,0),TEW)</f>
        <v>9.88260611967442</v>
      </c>
      <c r="AH35" s="99">
        <f ca="1">MIN(MAX(Z35+IF(AV35&gt;0,B35*BA35/AV35,0)+BF35-AE35,0),TEW)</f>
        <v>6.54152207664351</v>
      </c>
      <c r="AI35" s="99">
        <f ca="1" t="shared" si="1"/>
        <v>14.3019249954801</v>
      </c>
      <c r="AJ35" s="99">
        <f ca="1" t="shared" si="2"/>
        <v>19.908981114348</v>
      </c>
      <c r="AK35" s="70">
        <f ca="1">IF((AU35+AV35)&gt;0,(TEW-(AG35*AU35+AH35*AV35)/(AU35+AV35))/TEW,(TEW-(AG35+AH35)/2)/TEW)</f>
        <v>0.701657173745678</v>
      </c>
      <c r="AL35" s="70">
        <f ca="1" t="shared" si="3"/>
        <v>0.503589984924897</v>
      </c>
      <c r="AM35" s="70">
        <f ca="1" t="shared" si="4"/>
        <v>0.609574092696835</v>
      </c>
      <c r="AN35" s="70">
        <f ca="1">Wwp+(Wfc-Wwp)*IF((AU35+AV35)&gt;0,(TEW-(AG35*AU35+AH35*AV35)/(AU35+AV35))/TEW,(TEW-(AG35+AH35)/2)/TEW)</f>
        <v>0.361215432586938</v>
      </c>
      <c r="AO35" s="70">
        <f ca="1">Wwp+(Wfc-Wwp)*(R35-AI35)/R35</f>
        <v>0.335466698040237</v>
      </c>
      <c r="AP35" s="70">
        <f ca="1">Wwp+(Wfc-Wwp)*(S35-AJ35)/S35</f>
        <v>0.349244632050589</v>
      </c>
      <c r="AQ35" s="70"/>
      <c r="AR35" s="70"/>
      <c r="AS35" s="70"/>
      <c r="AT35" s="70"/>
      <c r="AU35" s="70">
        <f ca="1">MIN((1-G35),fw)</f>
        <v>0.794666666666667</v>
      </c>
      <c r="AV35" s="70">
        <f ca="1" t="shared" si="5"/>
        <v>0</v>
      </c>
      <c r="AW35" s="70">
        <f ca="1">MIN((TEW-Y35)/(TEW-REW),1)</f>
        <v>0.0909830049098803</v>
      </c>
      <c r="AX35" s="70">
        <f ca="1">MIN((TEW-Z35)/(TEW-REW),1)</f>
        <v>0.103313757075903</v>
      </c>
      <c r="AY35" s="70">
        <f ca="1">IF((AU35*(TEW-Y35))&gt;0,1/(1+((AV35*(TEW-Z35))/(AU35*(TEW-Y35)))),0)</f>
        <v>1</v>
      </c>
      <c r="AZ35" s="70">
        <f ca="1">MIN((AY35*AW35*(Kcmax-H35)),AU35*Kcmax)</f>
        <v>0.0835705157965011</v>
      </c>
      <c r="BA35" s="70">
        <f ca="1">MIN(((1-AY35)*AX35*(Kcmax-H35)),AV35*Kcmax)</f>
        <v>0</v>
      </c>
      <c r="BB35" s="70">
        <f ca="1" t="shared" si="6"/>
        <v>0.109978798788196</v>
      </c>
      <c r="BC35" s="70">
        <f ca="1">MIN((R35-AA35)/(R35*(1-(p+0.04*(5-I34)))),1)</f>
        <v>1</v>
      </c>
      <c r="BD35" s="10">
        <f ca="1" t="shared" si="7"/>
        <v>0.304616019990428</v>
      </c>
      <c r="BE35" s="70">
        <f ca="1">MIN(IF((1-AA35/R35)&gt;0,(1-Y35/TEW)/(1-AA35/R35)*(Ze/P35)^0.6,0),1)*BC35*H35*B35</f>
        <v>0.298143538982025</v>
      </c>
      <c r="BF35" s="70">
        <f ca="1">MIN(IF((1-AA35/R35)&gt;0,(1-Z35/TEW)/(1-AA35/R35)*(Ze/P35)^0.6,0),1)*BC35*H35*B35</f>
        <v>0.304616019990428</v>
      </c>
      <c r="BG35"/>
      <c r="BH35" s="10">
        <f ca="1" t="shared" si="8"/>
        <v>0.0257133471968876</v>
      </c>
      <c r="BI35" s="10">
        <f ca="1">IF(F35&lt;&gt;"",(Moy_Etobs-F35)^2,"")</f>
        <v>1.83502669749217</v>
      </c>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c r="A36" s="38">
        <v>39029</v>
      </c>
      <c r="B36" s="10">
        <v>1.128</v>
      </c>
      <c r="C36" s="39">
        <v>0</v>
      </c>
      <c r="D36">
        <v>0.313</v>
      </c>
      <c r="E36" s="39">
        <v>0</v>
      </c>
      <c r="F36" s="10">
        <v>0.3327894</v>
      </c>
      <c r="G36" s="10">
        <f ca="1">MIN(MAX(IF(AND(Durpla&gt;ROW()-MATCH(NDVImax,INDEX(D:D,Lig_min,1):INDEX(D:D,Lig_max,1),0)-Lig_min+1,ROW()-MATCH(NDVImax,INDEX(D:D,Lig_min,1):INDEX(D:D,Lig_max,1),0)-Lig_min+1&gt;0,D36*a_fc+b_fc&gt;fc_fin),NDVImax*a_fc+b_fc,D36*a_fc+b_fc),0),1)</f>
        <v>0.217333333333333</v>
      </c>
      <c r="H36" s="55">
        <f>MIN(MAX(D36*a_kcb+b_kcb,0),Kcmax)</f>
        <v>0.244998673955117</v>
      </c>
      <c r="I36" s="70">
        <f ca="1" t="shared" si="0"/>
        <v>0.367525429906592</v>
      </c>
      <c r="J36"/>
      <c r="K36"/>
      <c r="L36"/>
      <c r="M36"/>
      <c r="N36"/>
      <c r="O36" s="55"/>
      <c r="P36" s="35">
        <f ca="1">IF(ROW()-MATCH(NDVImax,INDEX(D:D,Lig_min,1):INDEX(D:D,Lig_max,1),0)-Lig_min+1&gt;0,MAX(MIN(Zr_min+MAX(INDEX(G:G,Lig_min,1):INDEX(G:G,Lig_max,1))/MAX(MAX(INDEX(G:G,Lig_min,1):INDEX(G:G,Lig_max,1)),Max_fc_pour_Zrmax)*(Zr_max-Zr_min),Zr_max),Ze+0.001),MAX(MIN(Zr_min+G36/MAX(MAX(INDEX(G:G,Lig_min,1):INDEX(G:G,Lig_max,1)),Max_fc_pour_Zrmax)*(Zr_max-Zr_min),Zr_max),Ze+0.001))</f>
        <v>227.267519145947</v>
      </c>
      <c r="Q36" s="35">
        <f ca="1">IF(Z_sol&gt;0,Z_sol-P36,0.1)</f>
        <v>386.607031918487</v>
      </c>
      <c r="R36" s="35">
        <f ca="1">(Wfc-Wwp)*P36</f>
        <v>29.5447774889731</v>
      </c>
      <c r="S36" s="35">
        <f ca="1">(Wfc-Wwp)*Q36</f>
        <v>50.2589141494033</v>
      </c>
      <c r="T36" s="99">
        <f ca="1" t="shared" si="9"/>
        <v>9.88260611967442</v>
      </c>
      <c r="U36" s="99">
        <f ca="1" t="shared" si="10"/>
        <v>6.54152207664351</v>
      </c>
      <c r="V36" s="99">
        <f ca="1">IF(P36&gt;P35,IF(Q36&gt;1,MAX(AI35+(Wfc-Wwp)*(P36-P35)*AJ35/S35,0),AI35/P35*P36),MAX(AI35+(Wfc-Wwp)*(P36-P35)*AI35/R35,0))</f>
        <v>14.5885239529754</v>
      </c>
      <c r="W36" s="99">
        <f ca="1">IF(S36&gt;1,IF(P36&gt;P35,MAX(AJ35-(Wfc-Wwp)*(P36-P35)*AJ35/S35,0),MAX(AJ35-(Wfc-Wwp)*(P36-P35)*AI35/R35,0)),0)</f>
        <v>19.6223821568527</v>
      </c>
      <c r="X36" s="99">
        <f ca="1">IF(AND(OR(AND(dec_vide_TAW&lt;0,V36&gt;R36*(p+0.04*(5-I35))),AND(dec_vide_TAW&gt;0,V36&gt;R36*dec_vide_TAW)),H36&gt;MAX(INDEX(H:H,Lig_min,1):INDEX(H:H,ROW(X36),1))*Kcbmax_stop_irrig*IF(ROW(X36)-lig_kcbmax&gt;0,1,0),MIN(INDEX(H:H,ROW(X36),1):INDEX(H:H,lig_kcbmax,1))&gt;Kcbmin_start_irrig),MIN(MAX(V36-E36*Irri_man-C36,0),Lame_max),0)</f>
        <v>0</v>
      </c>
      <c r="Y36" s="99">
        <f ca="1">MIN(MAX(T36-C36-IF(fw&gt;0,X36/fw*Irri_auto+E36/fw*Irri_man,0),0),TEW)</f>
        <v>9.88260611967442</v>
      </c>
      <c r="Z36" s="99">
        <f ca="1">MIN(MAX(U36-C36,0),TEW)</f>
        <v>6.54152207664351</v>
      </c>
      <c r="AA36" s="99">
        <f ca="1">MIN(MAX(V36-C36-(X36*Irri_auto+E36*Irri_man),0),R36)</f>
        <v>14.5885239529754</v>
      </c>
      <c r="AB36" s="99">
        <f ca="1">MIN(MAX(W36+MIN(V36-C36-(X36*Irri_auto+E36*Irri_man),0),0),S36)</f>
        <v>19.6223821568527</v>
      </c>
      <c r="AC36" s="99">
        <f ca="1">-MIN(W36+MIN(V36-C36-(X36*Irri_auto+E36*Irri_man),0),0)</f>
        <v>0</v>
      </c>
      <c r="AD36" s="39">
        <f ca="1">IF(((R36-AA36)/P36-((Wfc-Wwp)*Ze-Y36)/Ze)/Wfc*DiffE&lt;0,MAX(((R36-AA36)/P36-((Wfc-Wwp)*Ze-Y36)/Ze)/Wfc*DiffE,(R36*Ze-((Wfc-Wwp)*Ze-Y36-AA36)*P36)/(P36+Ze)-AA36),MIN(((R36-AA36)/P36-((Wfc-Wwp)*Ze-Y36)/Ze)/Wfc*DiffE,(R36*Ze-((Wfc-Wwp)*Ze-Y36-AA36)*P36)/(P36+Ze)-AA36))</f>
        <v>3.71746814485846e-8</v>
      </c>
      <c r="AE36" s="39">
        <f ca="1">IF(((R36-AA36)/P36-((Wfc-Wwp)*Ze-Z36)/Ze)/Wfc*DiffE&lt;0,MAX(((R36-AA36)/P36-((Wfc-Wwp)*Ze-Z36)/Ze)/Wfc*DiffE,(R36*Ze-((Wfc-Wwp)*Ze-Z36-AA36)*P36)/(P36+Ze)-AA36),MIN(((R36-AA36)/P36-((Wfc-Wwp)*Ze-Z36)/Ze)/Wfc*DiffE,(R36*Ze-((Wfc-Wwp)*Ze-Z36-AA36)*P36)/(P36+Ze)-AA36))</f>
        <v>-2.96469994120336e-8</v>
      </c>
      <c r="AF36" s="39">
        <f ca="1">IF(((S36-AB36)/Q36-(R36-AA36)/P36)/Wfc*DiffR&lt;0,MAX(((S36-AB36)/Q36-(R36-AA36)/P36)/Wfc*DiffR,(S36*P36-(R36-AA36-AB36)*Q36)/(P36+Q36)-AB36),MIN(((S36-AB36)/Q36-(R36-AA36)/P36)/Wfc*DiffR,(S36*P36-(R36-AA36-AB36)*Q36)/(P36+Q36)-AB36))</f>
        <v>3.35890210713752e-8</v>
      </c>
      <c r="AG36" s="99">
        <f ca="1">MIN(MAX(Y36+IF(AU36&gt;0,B36*AZ36/AU36,0)+BE36-AD36,0),TEW)</f>
        <v>10.2666843261358</v>
      </c>
      <c r="AH36" s="99">
        <f ca="1">MIN(MAX(Z36+IF(AV36&gt;0,B36*BA36/AV36,0)+BF36-AE36,0),TEW)</f>
        <v>6.81788061051188</v>
      </c>
      <c r="AI36" s="99">
        <f ca="1" t="shared" si="1"/>
        <v>14.956049349293</v>
      </c>
      <c r="AJ36" s="99">
        <f ca="1" t="shared" si="2"/>
        <v>19.6223821904417</v>
      </c>
      <c r="AK36" s="70">
        <f ca="1">IF((AU36+AV36)&gt;0,(TEW-(AG36*AU36+AH36*AV36)/(AU36+AV36))/TEW,(TEW-(AG36+AH36)/2)/TEW)</f>
        <v>0.690062359965711</v>
      </c>
      <c r="AL36" s="70">
        <f ca="1" t="shared" si="3"/>
        <v>0.49378365246193</v>
      </c>
      <c r="AM36" s="70">
        <f ca="1" t="shared" si="4"/>
        <v>0.609574092028515</v>
      </c>
      <c r="AN36" s="70">
        <f ca="1">Wwp+(Wfc-Wwp)*IF((AU36+AV36)&gt;0,(TEW-(AG36*AU36+AH36*AV36)/(AU36+AV36))/TEW,(TEW-(AG36+AH36)/2)/TEW)</f>
        <v>0.359708106795542</v>
      </c>
      <c r="AO36" s="70">
        <f ca="1">Wwp+(Wfc-Wwp)*(R36-AI36)/R36</f>
        <v>0.334191874820051</v>
      </c>
      <c r="AP36" s="70">
        <f ca="1">Wwp+(Wfc-Wwp)*(S36-AJ36)/S36</f>
        <v>0.349244631963707</v>
      </c>
      <c r="AQ36" s="70"/>
      <c r="AR36" s="70"/>
      <c r="AS36" s="70"/>
      <c r="AT36" s="70"/>
      <c r="AU36" s="70">
        <f ca="1">MIN((1-G36),fw)</f>
        <v>0.782666666666667</v>
      </c>
      <c r="AV36" s="70">
        <f ca="1" t="shared" si="5"/>
        <v>0</v>
      </c>
      <c r="AW36" s="70">
        <f ca="1">MIN((TEW-Y36)/(TEW-REW),1)</f>
        <v>0.0893056621054424</v>
      </c>
      <c r="AX36" s="70">
        <f ca="1">MIN((TEW-Z36)/(TEW-REW),1)</f>
        <v>0.102143312312609</v>
      </c>
      <c r="AY36" s="70">
        <f ca="1">IF((AU36*(TEW-Y36))&gt;0,1/(1+((AV36*(TEW-Z36))/(AU36*(TEW-Y36)))),0)</f>
        <v>1</v>
      </c>
      <c r="AZ36" s="70">
        <f ca="1">MIN((AY36*AW36*(Kcmax-H36)),AU36*Kcmax)</f>
        <v>0.0808217426287417</v>
      </c>
      <c r="BA36" s="70">
        <f ca="1">MIN(((1-AY36)*AX36*(Kcmax-H36)),AV36*Kcmax)</f>
        <v>0</v>
      </c>
      <c r="BB36" s="70">
        <f ca="1" t="shared" si="6"/>
        <v>0.0911669256852206</v>
      </c>
      <c r="BC36" s="70">
        <f ca="1">MIN((R36-AA36)/(R36*(1-(p+0.04*(5-I35)))),1)</f>
        <v>1</v>
      </c>
      <c r="BD36" s="10">
        <f ca="1" t="shared" si="7"/>
        <v>0.276358504221371</v>
      </c>
      <c r="BE36" s="70">
        <f ca="1">MIN(IF((1-AA36/R36)&gt;0,(1-Y36/TEW)/(1-AA36/R36)*(Ze/P36)^0.6,0),1)*BC36*H36*B36</f>
        <v>0.267595800256343</v>
      </c>
      <c r="BF36" s="70">
        <f ca="1">MIN(IF((1-AA36/R36)&gt;0,(1-Z36/TEW)/(1-AA36/R36)*(Ze/P36)^0.6,0),1)*BC36*H36*B36</f>
        <v>0.276358504221371</v>
      </c>
      <c r="BG36"/>
      <c r="BH36" s="10">
        <f ca="1" t="shared" si="8"/>
        <v>0.00120659177367166</v>
      </c>
      <c r="BI36" s="10">
        <f ca="1">IF(F36&lt;&gt;"",(Moy_Etobs-F36)^2,"")</f>
        <v>1.62838826339987</v>
      </c>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c r="A37" s="38">
        <v>39030</v>
      </c>
      <c r="B37" s="10">
        <v>0.697</v>
      </c>
      <c r="C37" s="39">
        <v>0</v>
      </c>
      <c r="D37">
        <v>0.321</v>
      </c>
      <c r="E37" s="39">
        <v>0</v>
      </c>
      <c r="F37" s="10">
        <v>0.143793</v>
      </c>
      <c r="G37" s="10">
        <f ca="1">MIN(MAX(IF(AND(Durpla&gt;ROW()-MATCH(NDVImax,INDEX(D:D,Lig_min,1):INDEX(D:D,Lig_max,1),0)-Lig_min+1,ROW()-MATCH(NDVImax,INDEX(D:D,Lig_min,1):INDEX(D:D,Lig_max,1),0)-Lig_min+1&gt;0,D37*a_fc+b_fc&gt;fc_fin),NDVImax*a_fc+b_fc,D37*a_fc+b_fc),0),1)</f>
        <v>0.228</v>
      </c>
      <c r="H37" s="55">
        <f>MIN(MAX(D37*a_kcb+b_kcb,0),Kcmax)</f>
        <v>0.25702314875046</v>
      </c>
      <c r="I37" s="70">
        <f ca="1" t="shared" si="0"/>
        <v>0.23381088869622</v>
      </c>
      <c r="J37"/>
      <c r="K37"/>
      <c r="L37"/>
      <c r="M37"/>
      <c r="N37"/>
      <c r="O37" s="55"/>
      <c r="P37" s="35">
        <f ca="1">IF(ROW()-MATCH(NDVImax,INDEX(D:D,Lig_min,1):INDEX(D:D,Lig_max,1),0)-Lig_min+1&gt;0,MAX(MIN(Zr_min+MAX(INDEX(G:G,Lig_min,1):INDEX(G:G,Lig_max,1))/MAX(MAX(INDEX(G:G,Lig_min,1):INDEX(G:G,Lig_max,1)),Max_fc_pour_Zrmax)*(Zr_max-Zr_min),Zr_max),Ze+0.001),MAX(MIN(Zr_min+G37/MAX(MAX(INDEX(G:G,Lig_min,1):INDEX(G:G,Lig_max,1)),Max_fc_pour_Zrmax)*(Zr_max-Zr_min),Zr_max),Ze+0.001))</f>
        <v>232.286783889306</v>
      </c>
      <c r="Q37" s="35">
        <f ca="1">IF(Z_sol&gt;0,Z_sol-P37,0.1)</f>
        <v>381.587767175128</v>
      </c>
      <c r="R37" s="35">
        <f ca="1">(Wfc-Wwp)*P37</f>
        <v>30.1972819056098</v>
      </c>
      <c r="S37" s="35">
        <f ca="1">(Wfc-Wwp)*Q37</f>
        <v>49.6064097327666</v>
      </c>
      <c r="T37" s="99">
        <f ca="1" t="shared" si="9"/>
        <v>10.2666843261358</v>
      </c>
      <c r="U37" s="99">
        <f ca="1" t="shared" si="10"/>
        <v>6.81788061051188</v>
      </c>
      <c r="V37" s="99">
        <f ca="1">IF(P37&gt;P36,IF(Q37&gt;1,MAX(AI36+(Wfc-Wwp)*(P37-P36)*AJ36/S36,0),AI36/P36*P37),MAX(AI36+(Wfc-Wwp)*(P37-P36)*AI36/R36,0))</f>
        <v>15.2108039786138</v>
      </c>
      <c r="W37" s="99">
        <f ca="1">IF(S37&gt;1,IF(P37&gt;P36,MAX(AJ36-(Wfc-Wwp)*(P37-P36)*AJ36/S36,0),MAX(AJ36-(Wfc-Wwp)*(P37-P36)*AI36/R36,0)),0)</f>
        <v>19.3676275611209</v>
      </c>
      <c r="X37" s="99">
        <f ca="1">IF(AND(OR(AND(dec_vide_TAW&lt;0,V37&gt;R37*(p+0.04*(5-I36))),AND(dec_vide_TAW&gt;0,V37&gt;R37*dec_vide_TAW)),H37&gt;MAX(INDEX(H:H,Lig_min,1):INDEX(H:H,ROW(X37),1))*Kcbmax_stop_irrig*IF(ROW(X37)-lig_kcbmax&gt;0,1,0),MIN(INDEX(H:H,ROW(X37),1):INDEX(H:H,lig_kcbmax,1))&gt;Kcbmin_start_irrig),MIN(MAX(V37-E37*Irri_man-C37,0),Lame_max),0)</f>
        <v>0</v>
      </c>
      <c r="Y37" s="99">
        <f ca="1">MIN(MAX(T37-C37-IF(fw&gt;0,X37/fw*Irri_auto+E37/fw*Irri_man,0),0),TEW)</f>
        <v>10.2666843261358</v>
      </c>
      <c r="Z37" s="99">
        <f ca="1">MIN(MAX(U37-C37,0),TEW)</f>
        <v>6.81788061051188</v>
      </c>
      <c r="AA37" s="99">
        <f ca="1">MIN(MAX(V37-C37-(X37*Irri_auto+E37*Irri_man),0),R37)</f>
        <v>15.2108039786138</v>
      </c>
      <c r="AB37" s="99">
        <f ca="1">MIN(MAX(W37+MIN(V37-C37-(X37*Irri_auto+E37*Irri_man),0),0),S37)</f>
        <v>19.3676275611209</v>
      </c>
      <c r="AC37" s="99">
        <f ca="1">-MIN(W37+MIN(V37-C37-(X37*Irri_auto+E37*Irri_man),0),0)</f>
        <v>0</v>
      </c>
      <c r="AD37" s="39">
        <f ca="1">IF(((R37-AA37)/P37-((Wfc-Wwp)*Ze-Y37)/Ze)/Wfc*DiffE&lt;0,MAX(((R37-AA37)/P37-((Wfc-Wwp)*Ze-Y37)/Ze)/Wfc*DiffE,(R37*Ze-((Wfc-Wwp)*Ze-Y37-AA37)*P37)/(P37+Ze)-AA37),MIN(((R37-AA37)/P37-((Wfc-Wwp)*Ze-Y37)/Ze)/Wfc*DiffE,(R37*Ze-((Wfc-Wwp)*Ze-Y37-AA37)*P37)/(P37+Ze)-AA37))</f>
        <v>4.16265254443845e-8</v>
      </c>
      <c r="AE37" s="39">
        <f ca="1">IF(((R37-AA37)/P37-((Wfc-Wwp)*Ze-Z37)/Ze)/Wfc*DiffE&lt;0,MAX(((R37-AA37)/P37-((Wfc-Wwp)*Ze-Z37)/Ze)/Wfc*DiffE,(R37*Ze-((Wfc-Wwp)*Ze-Z37-AA37)*P37)/(P37+Ze)-AA37),MIN(((R37-AA37)/P37-((Wfc-Wwp)*Ze-Z37)/Ze)/Wfc*DiffE,(R37*Ze-((Wfc-Wwp)*Ze-Z37-AA37)*P37)/(P37+Ze)-AA37))</f>
        <v>-2.73495488680945e-8</v>
      </c>
      <c r="AF37" s="39">
        <f ca="1">IF(((S37-AB37)/Q37-(R37-AA37)/P37)/Wfc*DiffR&lt;0,MAX(((S37-AB37)/Q37-(R37-AA37)/P37)/Wfc*DiffR,(S37*P37-(R37-AA37-AB37)*Q37)/(P37+Q37)-AB37),MIN(((S37-AB37)/Q37-(R37-AA37)/P37)/Wfc*DiffR,(S37*P37-(R37-AA37-AB37)*Q37)/(P37+Q37)-AB37))</f>
        <v>3.68187409875997e-8</v>
      </c>
      <c r="AG37" s="99">
        <f ca="1">MIN(MAX(Y37+IF(AU37&gt;0,B37*AZ37/AU37,0)+BE37-AD37,0),TEW)</f>
        <v>10.50924334131</v>
      </c>
      <c r="AH37" s="99">
        <f ca="1">MIN(MAX(Z37+IF(AV37&gt;0,B37*BA37/AV37,0)+BF37-AE37,0),TEW)</f>
        <v>6.9970257725405</v>
      </c>
      <c r="AI37" s="99">
        <f ca="1" t="shared" si="1"/>
        <v>15.4446148304912</v>
      </c>
      <c r="AJ37" s="99">
        <f ca="1" t="shared" si="2"/>
        <v>19.3676275979396</v>
      </c>
      <c r="AK37" s="70">
        <f ca="1">IF((AU37+AV37)&gt;0,(TEW-(AG37*AU37+AH37*AV37)/(AU37+AV37))/TEW,(TEW-(AG37+AH37)/2)/TEW)</f>
        <v>0.682739823658565</v>
      </c>
      <c r="AL37" s="70">
        <f ca="1" t="shared" si="3"/>
        <v>0.488542880158295</v>
      </c>
      <c r="AM37" s="70">
        <f ca="1" t="shared" si="4"/>
        <v>0.609574091286298</v>
      </c>
      <c r="AN37" s="70">
        <f ca="1">Wwp+(Wfc-Wwp)*IF((AU37+AV37)&gt;0,(TEW-(AG37*AU37+AH37*AV37)/(AU37+AV37))/TEW,(TEW-(AG37+AH37)/2)/TEW)</f>
        <v>0.358756177075613</v>
      </c>
      <c r="AO37" s="70">
        <f ca="1">Wwp+(Wfc-Wwp)*(R37-AI37)/R37</f>
        <v>0.333510574420578</v>
      </c>
      <c r="AP37" s="70">
        <f ca="1">Wwp+(Wfc-Wwp)*(S37-AJ37)/S37</f>
        <v>0.349244631867219</v>
      </c>
      <c r="AQ37" s="70"/>
      <c r="AR37" s="70"/>
      <c r="AS37" s="70"/>
      <c r="AT37" s="70"/>
      <c r="AU37" s="70">
        <f ca="1">MIN((1-G37),fw)</f>
        <v>0.772</v>
      </c>
      <c r="AV37" s="70">
        <f ca="1" t="shared" si="5"/>
        <v>0</v>
      </c>
      <c r="AW37" s="70">
        <f ca="1">MIN((TEW-Y37)/(TEW-REW),1)</f>
        <v>0.0878298950779616</v>
      </c>
      <c r="AX37" s="70">
        <f ca="1">MIN((TEW-Z37)/(TEW-REW),1)</f>
        <v>0.101081443127675</v>
      </c>
      <c r="AY37" s="70">
        <f ca="1">IF((AU37*(TEW-Y37))&gt;0,1/(1+((AV37*(TEW-Z37))/(AU37*(TEW-Y37)))),0)</f>
        <v>1</v>
      </c>
      <c r="AZ37" s="70">
        <f ca="1">MIN((AY37*AW37*(Kcmax-H37)),AU37*Kcmax)</f>
        <v>0.0784300631522956</v>
      </c>
      <c r="BA37" s="70">
        <f ca="1">MIN(((1-AY37)*AX37*(Kcmax-H37)),AV37*Kcmax)</f>
        <v>0</v>
      </c>
      <c r="BB37" s="70">
        <f ca="1" t="shared" si="6"/>
        <v>0.05466575401715</v>
      </c>
      <c r="BC37" s="70">
        <f ca="1">MIN((R37-AA37)/(R37*(1-(p+0.04*(5-I36)))),1)</f>
        <v>1</v>
      </c>
      <c r="BD37" s="10">
        <f ca="1" t="shared" si="7"/>
        <v>0.17914513467907</v>
      </c>
      <c r="BE37" s="70">
        <f ca="1">MIN(IF((1-AA37/R37)&gt;0,(1-Y37/TEW)/(1-AA37/R37)*(Ze/P37)^0.6,0),1)*BC37*H37*B37</f>
        <v>0.171748494602342</v>
      </c>
      <c r="BF37" s="70">
        <f ca="1">MIN(IF((1-AA37/R37)&gt;0,(1-Z37/TEW)/(1-AA37/R37)*(Ze/P37)^0.6,0),1)*BC37*H37*B37</f>
        <v>0.17914513467907</v>
      </c>
      <c r="BG37"/>
      <c r="BH37" s="10">
        <f ca="1" t="shared" si="8"/>
        <v>0.00810322028532513</v>
      </c>
      <c r="BI37" s="10">
        <f ca="1">IF(F37&lt;&gt;"",(Moy_Etobs-F37)^2,"")</f>
        <v>2.14645815405783</v>
      </c>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c r="A38" s="38">
        <v>39031</v>
      </c>
      <c r="B38" s="10">
        <v>0.761</v>
      </c>
      <c r="C38" s="39">
        <v>0.396</v>
      </c>
      <c r="D38">
        <v>0.329</v>
      </c>
      <c r="E38" s="39">
        <v>0</v>
      </c>
      <c r="F38" s="10">
        <v>0.3620466</v>
      </c>
      <c r="G38" s="10">
        <f ca="1">MIN(MAX(IF(AND(Durpla&gt;ROW()-MATCH(NDVImax,INDEX(D:D,Lig_min,1):INDEX(D:D,Lig_max,1),0)-Lig_min+1,ROW()-MATCH(NDVImax,INDEX(D:D,Lig_min,1):INDEX(D:D,Lig_max,1),0)-Lig_min+1&gt;0,D38*a_fc+b_fc&gt;fc_fin),NDVImax*a_fc+b_fc,D38*a_fc+b_fc),0),1)</f>
        <v>0.238666666666667</v>
      </c>
      <c r="H38" s="55">
        <f>MIN(MAX(D38*a_kcb+b_kcb,0),Kcmax)</f>
        <v>0.269047623545803</v>
      </c>
      <c r="I38" s="70">
        <f ca="1" t="shared" si="0"/>
        <v>0.264022075415593</v>
      </c>
      <c r="J38"/>
      <c r="K38"/>
      <c r="L38"/>
      <c r="M38"/>
      <c r="N38"/>
      <c r="O38" s="55"/>
      <c r="P38" s="35">
        <f ca="1">IF(ROW()-MATCH(NDVImax,INDEX(D:D,Lig_min,1):INDEX(D:D,Lig_max,1),0)-Lig_min+1&gt;0,MAX(MIN(Zr_min+MAX(INDEX(G:G,Lig_min,1):INDEX(G:G,Lig_max,1))/MAX(MAX(INDEX(G:G,Lig_min,1):INDEX(G:G,Lig_max,1)),Max_fc_pour_Zrmax)*(Zr_max-Zr_min),Zr_max),Ze+0.001),MAX(MIN(Zr_min+G38/MAX(MAX(INDEX(G:G,Lig_min,1):INDEX(G:G,Lig_max,1)),Max_fc_pour_Zrmax)*(Zr_max-Zr_min),Zr_max),Ze+0.001))</f>
        <v>237.306048632666</v>
      </c>
      <c r="Q38" s="35">
        <f ca="1">IF(Z_sol&gt;0,Z_sol-P38,0.1)</f>
        <v>376.568502431768</v>
      </c>
      <c r="R38" s="35">
        <f ca="1">(Wfc-Wwp)*P38</f>
        <v>30.8497863222465</v>
      </c>
      <c r="S38" s="35">
        <f ca="1">(Wfc-Wwp)*Q38</f>
        <v>48.9539053161299</v>
      </c>
      <c r="T38" s="99">
        <f ca="1" t="shared" si="9"/>
        <v>10.50924334131</v>
      </c>
      <c r="U38" s="99">
        <f ca="1" t="shared" si="10"/>
        <v>6.9970257725405</v>
      </c>
      <c r="V38" s="99">
        <f ca="1">IF(P38&gt;P37,IF(Q38&gt;1,MAX(AI37+(Wfc-Wwp)*(P38-P37)*AJ37/S37,0),AI37/P37*P38),MAX(AI37+(Wfc-Wwp)*(P38-P37)*AI37/R37,0))</f>
        <v>15.6993694602963</v>
      </c>
      <c r="W38" s="99">
        <f ca="1">IF(S38&gt;1,IF(P38&gt;P37,MAX(AJ37-(Wfc-Wwp)*(P38-P37)*AJ37/S37,0),MAX(AJ37-(Wfc-Wwp)*(P38-P37)*AI37/R37,0)),0)</f>
        <v>19.1128729681345</v>
      </c>
      <c r="X38" s="99">
        <f ca="1">IF(AND(OR(AND(dec_vide_TAW&lt;0,V38&gt;R38*(p+0.04*(5-I37))),AND(dec_vide_TAW&gt;0,V38&gt;R38*dec_vide_TAW)),H38&gt;MAX(INDEX(H:H,Lig_min,1):INDEX(H:H,ROW(X38),1))*Kcbmax_stop_irrig*IF(ROW(X38)-lig_kcbmax&gt;0,1,0),MIN(INDEX(H:H,ROW(X38),1):INDEX(H:H,lig_kcbmax,1))&gt;Kcbmin_start_irrig),MIN(MAX(V38-E38*Irri_man-C38,0),Lame_max),0)</f>
        <v>0</v>
      </c>
      <c r="Y38" s="99">
        <f ca="1">MIN(MAX(T38-C38-IF(fw&gt;0,X38/fw*Irri_auto+E38/fw*Irri_man,0),0),TEW)</f>
        <v>10.11324334131</v>
      </c>
      <c r="Z38" s="99">
        <f ca="1">MIN(MAX(U38-C38,0),TEW)</f>
        <v>6.6010257725405</v>
      </c>
      <c r="AA38" s="99">
        <f ca="1">MIN(MAX(V38-C38-(X38*Irri_auto+E38*Irri_man),0),R38)</f>
        <v>15.3033694602963</v>
      </c>
      <c r="AB38" s="99">
        <f ca="1">MIN(MAX(W38+MIN(V38-C38-(X38*Irri_auto+E38*Irri_man),0),0),S38)</f>
        <v>19.1128729681345</v>
      </c>
      <c r="AC38" s="99">
        <f ca="1">-MIN(W38+MIN(V38-C38-(X38*Irri_auto+E38*Irri_man),0),0)</f>
        <v>0</v>
      </c>
      <c r="AD38" s="39">
        <f ca="1">IF(((R38-AA38)/P38-((Wfc-Wwp)*Ze-Y38)/Ze)/Wfc*DiffE&lt;0,MAX(((R38-AA38)/P38-((Wfc-Wwp)*Ze-Y38)/Ze)/Wfc*DiffE,(R38*Ze-((Wfc-Wwp)*Ze-Y38-AA38)*P38)/(P38+Ze)-AA38),MIN(((R38-AA38)/P38-((Wfc-Wwp)*Ze-Y38)/Ze)/Wfc*DiffE,(R38*Ze-((Wfc-Wwp)*Ze-Y38-AA38)*P38)/(P38+Ze)-AA38))</f>
        <v>4.10451091707083e-8</v>
      </c>
      <c r="AE38" s="39">
        <f ca="1">IF(((R38-AA38)/P38-((Wfc-Wwp)*Ze-Z38)/Ze)/Wfc*DiffE&lt;0,MAX(((R38-AA38)/P38-((Wfc-Wwp)*Ze-Z38)/Ze)/Wfc*DiffE,(R38*Ze-((Wfc-Wwp)*Ze-Z38-AA38)*P38)/(P38+Ze)-AA38),MIN(((R38-AA38)/P38-((Wfc-Wwp)*Ze-Z38)/Ze)/Wfc*DiffE,(R38*Ze-((Wfc-Wwp)*Ze-Z38-AA38)*P38)/(P38+Ze)-AA38))</f>
        <v>-2.91992422046823e-8</v>
      </c>
      <c r="AF38" s="39">
        <f ca="1">IF(((S38-AB38)/Q38-(R38-AA38)/P38)/Wfc*DiffR&lt;0,MAX(((S38-AB38)/Q38-(R38-AA38)/P38)/Wfc*DiffR,(S38*P38-(R38-AA38-AB38)*Q38)/(P38+Q38)-AB38),MIN(((S38-AB38)/Q38-(R38-AA38)/P38)/Wfc*DiffR,(S38*P38-(R38-AA38-AB38)*Q38)/(P38+Q38)-AB38))</f>
        <v>3.43313373235392e-8</v>
      </c>
      <c r="AG38" s="99">
        <f ca="1">MIN(MAX(Y38+IF(AU38&gt;0,B38*AZ38/AU38,0)+BE38-AD38,0),TEW)</f>
        <v>10.383230369192</v>
      </c>
      <c r="AH38" s="99">
        <f ca="1">MIN(MAX(Z38+IF(AV38&gt;0,B38*BA38/AV38,0)+BF38-AE38,0),TEW)</f>
        <v>6.8057710432581</v>
      </c>
      <c r="AI38" s="99">
        <f ca="1" t="shared" si="1"/>
        <v>15.5673915013806</v>
      </c>
      <c r="AJ38" s="99">
        <f ca="1" t="shared" si="2"/>
        <v>19.1128730024659</v>
      </c>
      <c r="AK38" s="70">
        <f ca="1">IF((AU38+AV38)&gt;0,(TEW-(AG38*AU38+AH38*AV38)/(AU38+AV38))/TEW,(TEW-(AG38+AH38)/2)/TEW)</f>
        <v>0.686543988854582</v>
      </c>
      <c r="AL38" s="70">
        <f ca="1" t="shared" si="3"/>
        <v>0.495380897009502</v>
      </c>
      <c r="AM38" s="70">
        <f ca="1" t="shared" si="4"/>
        <v>0.609574090584999</v>
      </c>
      <c r="AN38" s="70">
        <f ca="1">Wwp+(Wfc-Wwp)*IF((AU38+AV38)&gt;0,(TEW-(AG38*AU38+AH38*AV38)/(AU38+AV38))/TEW,(TEW-(AG38+AH38)/2)/TEW)</f>
        <v>0.359250718551096</v>
      </c>
      <c r="AO38" s="70">
        <f ca="1">Wwp+(Wfc-Wwp)*(R38-AI38)/R38</f>
        <v>0.334399516611235</v>
      </c>
      <c r="AP38" s="70">
        <f ca="1">Wwp+(Wfc-Wwp)*(S38-AJ38)/S38</f>
        <v>0.34924463177605</v>
      </c>
      <c r="AQ38" s="70"/>
      <c r="AR38" s="70"/>
      <c r="AS38" s="70"/>
      <c r="AT38" s="70"/>
      <c r="AU38" s="70">
        <f ca="1">MIN((1-G38),fw)</f>
        <v>0.761333333333333</v>
      </c>
      <c r="AV38" s="70">
        <f ca="1" t="shared" si="5"/>
        <v>0</v>
      </c>
      <c r="AW38" s="70">
        <f ca="1">MIN((TEW-Y38)/(TEW-REW),1)</f>
        <v>0.0884194706963138</v>
      </c>
      <c r="AX38" s="70">
        <f ca="1">MIN((TEW-Z38)/(TEW-REW),1)</f>
        <v>0.101914677646698</v>
      </c>
      <c r="AY38" s="70">
        <f ca="1">IF((AU38*(TEW-Y38))&gt;0,1/(1+((AV38*(TEW-Z38))/(AU38*(TEW-Y38)))),0)</f>
        <v>1</v>
      </c>
      <c r="AZ38" s="70">
        <f ca="1">MIN((AY38*AW38*(Kcmax-H38)),AU38*Kcmax)</f>
        <v>0.0778933428347399</v>
      </c>
      <c r="BA38" s="70">
        <f ca="1">MIN(((1-AY38)*AX38*(Kcmax-H38)),AV38*Kcmax)</f>
        <v>0</v>
      </c>
      <c r="BB38" s="70">
        <f ca="1" t="shared" si="6"/>
        <v>0.0592768338972371</v>
      </c>
      <c r="BC38" s="70">
        <f ca="1">MIN((R38-AA38)/(R38*(1-(p+0.04*(5-I37)))),1)</f>
        <v>1</v>
      </c>
      <c r="BD38" s="10">
        <f ca="1" t="shared" si="7"/>
        <v>0.204745241518356</v>
      </c>
      <c r="BE38" s="70">
        <f ca="1">MIN(IF((1-AA38/R38)&gt;0,(1-Y38/TEW)/(1-AA38/R38)*(Ze/P38)^0.6,0),1)*BC38*H38*B38</f>
        <v>0.192127830007747</v>
      </c>
      <c r="BF38" s="70">
        <f ca="1">MIN(IF((1-AA38/R38)&gt;0,(1-Z38/TEW)/(1-AA38/R38)*(Ze/P38)^0.6,0),1)*BC38*H38*B38</f>
        <v>0.204745241518356</v>
      </c>
      <c r="BG38"/>
      <c r="BH38" s="10">
        <f ca="1" t="shared" si="8"/>
        <v>0.009608807419999</v>
      </c>
      <c r="BI38" s="10">
        <f ca="1">IF(F38&lt;&gt;"",(Moy_Etobs-F38)^2,"")</f>
        <v>1.55457500595677</v>
      </c>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c r="A39" s="38">
        <v>39032</v>
      </c>
      <c r="B39" s="10">
        <v>0.493</v>
      </c>
      <c r="C39" s="39">
        <v>2.97</v>
      </c>
      <c r="D39">
        <v>0.337</v>
      </c>
      <c r="E39" s="39">
        <v>0</v>
      </c>
      <c r="F39"/>
      <c r="G39" s="10">
        <f ca="1">MIN(MAX(IF(AND(Durpla&gt;ROW()-MATCH(NDVImax,INDEX(D:D,Lig_min,1):INDEX(D:D,Lig_max,1),0)-Lig_min+1,ROW()-MATCH(NDVImax,INDEX(D:D,Lig_min,1):INDEX(D:D,Lig_max,1),0)-Lig_min+1&gt;0,D39*a_fc+b_fc&gt;fc_fin),NDVImax*a_fc+b_fc,D39*a_fc+b_fc),0),1)</f>
        <v>0.249333333333333</v>
      </c>
      <c r="H39" s="55">
        <f>MIN(MAX(D39*a_kcb+b_kcb,0),Kcmax)</f>
        <v>0.281072098341146</v>
      </c>
      <c r="I39" s="70">
        <f ca="1" t="shared" si="0"/>
        <v>0.180890016838311</v>
      </c>
      <c r="J39"/>
      <c r="K39"/>
      <c r="L39"/>
      <c r="M39"/>
      <c r="N39"/>
      <c r="O39" s="55"/>
      <c r="P39" s="35">
        <f ca="1">IF(ROW()-MATCH(NDVImax,INDEX(D:D,Lig_min,1):INDEX(D:D,Lig_max,1),0)-Lig_min+1&gt;0,MAX(MIN(Zr_min+MAX(INDEX(G:G,Lig_min,1):INDEX(G:G,Lig_max,1))/MAX(MAX(INDEX(G:G,Lig_min,1):INDEX(G:G,Lig_max,1)),Max_fc_pour_Zrmax)*(Zr_max-Zr_min),Zr_max),Ze+0.001),MAX(MIN(Zr_min+G39/MAX(MAX(INDEX(G:G,Lig_min,1):INDEX(G:G,Lig_max,1)),Max_fc_pour_Zrmax)*(Zr_max-Zr_min),Zr_max),Ze+0.001))</f>
        <v>242.325313376025</v>
      </c>
      <c r="Q39" s="35">
        <f ca="1">IF(Z_sol&gt;0,Z_sol-P39,0.1)</f>
        <v>371.549237688409</v>
      </c>
      <c r="R39" s="35">
        <f ca="1">(Wfc-Wwp)*P39</f>
        <v>31.5022907388833</v>
      </c>
      <c r="S39" s="35">
        <f ca="1">(Wfc-Wwp)*Q39</f>
        <v>48.3014008994932</v>
      </c>
      <c r="T39" s="99">
        <f ca="1" t="shared" si="9"/>
        <v>10.383230369192</v>
      </c>
      <c r="U39" s="99">
        <f ca="1" t="shared" si="10"/>
        <v>6.8057710432581</v>
      </c>
      <c r="V39" s="99">
        <f ca="1">IF(P39&gt;P38,IF(Q39&gt;1,MAX(AI38+(Wfc-Wwp)*(P39-P38)*AJ38/S38,0),AI38/P38*P39),MAX(AI38+(Wfc-Wwp)*(P39-P38)*AI38/R38,0))</f>
        <v>15.8221461316433</v>
      </c>
      <c r="W39" s="99">
        <f ca="1">IF(S39&gt;1,IF(P39&gt;P38,MAX(AJ38-(Wfc-Wwp)*(P39-P38)*AJ38/S38,0),MAX(AJ38-(Wfc-Wwp)*(P39-P38)*AI38/R38,0)),0)</f>
        <v>18.8581183722032</v>
      </c>
      <c r="X39" s="99">
        <f ca="1">IF(AND(OR(AND(dec_vide_TAW&lt;0,V39&gt;R39*(p+0.04*(5-I38))),AND(dec_vide_TAW&gt;0,V39&gt;R39*dec_vide_TAW)),H39&gt;MAX(INDEX(H:H,Lig_min,1):INDEX(H:H,ROW(X39),1))*Kcbmax_stop_irrig*IF(ROW(X39)-lig_kcbmax&gt;0,1,0),MIN(INDEX(H:H,ROW(X39),1):INDEX(H:H,lig_kcbmax,1))&gt;Kcbmin_start_irrig),MIN(MAX(V39-E39*Irri_man-C39,0),Lame_max),0)</f>
        <v>0</v>
      </c>
      <c r="Y39" s="99">
        <f ca="1">MIN(MAX(T39-C39-IF(fw&gt;0,X39/fw*Irri_auto+E39/fw*Irri_man,0),0),TEW)</f>
        <v>7.41323036919198</v>
      </c>
      <c r="Z39" s="99">
        <f ca="1">MIN(MAX(U39-C39,0),TEW)</f>
        <v>3.8357710432581</v>
      </c>
      <c r="AA39" s="99">
        <f ca="1">MIN(MAX(V39-C39-(X39*Irri_auto+E39*Irri_man),0),R39)</f>
        <v>12.8521461316433</v>
      </c>
      <c r="AB39" s="99">
        <f ca="1">MIN(MAX(W39+MIN(V39-C39-(X39*Irri_auto+E39*Irri_man),0),0),S39)</f>
        <v>18.8581183722032</v>
      </c>
      <c r="AC39" s="99">
        <f ca="1">-MIN(W39+MIN(V39-C39-(X39*Irri_auto+E39*Irri_man),0),0)</f>
        <v>0</v>
      </c>
      <c r="AD39" s="39">
        <f ca="1">IF(((R39-AA39)/P39-((Wfc-Wwp)*Ze-Y39)/Ze)/Wfc*DiffE&lt;0,MAX(((R39-AA39)/P39-((Wfc-Wwp)*Ze-Y39)/Ze)/Wfc*DiffE,(R39*Ze-((Wfc-Wwp)*Ze-Y39-AA39)*P39)/(P39+Ze)-AA39),MIN(((R39-AA39)/P39-((Wfc-Wwp)*Ze-Y39)/Ze)/Wfc*DiffE,(R39*Ze-((Wfc-Wwp)*Ze-Y39-AA39)*P39)/(P39+Ze)-AA39))</f>
        <v>1.56727420047146e-8</v>
      </c>
      <c r="AE39" s="39">
        <f ca="1">IF(((R39-AA39)/P39-((Wfc-Wwp)*Ze-Z39)/Ze)/Wfc*DiffE&lt;0,MAX(((R39-AA39)/P39-((Wfc-Wwp)*Ze-Z39)/Ze)/Wfc*DiffE,(R39*Ze-((Wfc-Wwp)*Ze-Z39-AA39)*P39)/(P39+Ze)-AA39),MIN(((R39-AA39)/P39-((Wfc-Wwp)*Ze-Z39)/Ze)/Wfc*DiffE,(R39*Ze-((Wfc-Wwp)*Ze-Z39-AA39)*P39)/(P39+Ze)-AA39))</f>
        <v>-5.58764445139631e-8</v>
      </c>
      <c r="AF39" s="39">
        <f ca="1">IF(((S39-AB39)/Q39-(R39-AA39)/P39)/Wfc*DiffR&lt;0,MAX(((S39-AB39)/Q39-(R39-AA39)/P39)/Wfc*DiffR,(S39*P39-(R39-AA39-AB39)*Q39)/(P39+Q39)-AB39),MIN(((S39-AB39)/Q39-(R39-AA39)/P39)/Wfc*DiffR,(S39*P39-(R39-AA39-AB39)*Q39)/(P39+Q39)-AB39))</f>
        <v>5.70344481924973e-9</v>
      </c>
      <c r="AG39" s="99">
        <f ca="1">MIN(MAX(Y39+IF(AU39&gt;0,B39*AZ39/AU39,0)+BE39-AD39,0),TEW)</f>
        <v>7.59173466478554</v>
      </c>
      <c r="AH39" s="99">
        <f ca="1">MIN(MAX(Z39+IF(AV39&gt;0,B39*BA39/AV39,0)+BF39-AE39,0),TEW)</f>
        <v>3.97433964361673</v>
      </c>
      <c r="AI39" s="99">
        <f ca="1" t="shared" si="1"/>
        <v>13.0330361427782</v>
      </c>
      <c r="AJ39" s="99">
        <f ca="1" t="shared" si="2"/>
        <v>18.8581183779066</v>
      </c>
      <c r="AK39" s="70">
        <f ca="1">IF((AU39+AV39)&gt;0,(TEW-(AG39*AU39+AH39*AV39)/(AU39+AV39))/TEW,(TEW-(AG39+AH39)/2)/TEW)</f>
        <v>0.770815557289493</v>
      </c>
      <c r="AL39" s="70">
        <f ca="1" t="shared" si="3"/>
        <v>0.586282907144544</v>
      </c>
      <c r="AM39" s="70">
        <f ca="1" t="shared" si="4"/>
        <v>0.609574090466918</v>
      </c>
      <c r="AN39" s="70">
        <f ca="1">Wwp+(Wfc-Wwp)*IF((AU39+AV39)&gt;0,(TEW-(AG39*AU39+AH39*AV39)/(AU39+AV39))/TEW,(TEW-(AG39+AH39)/2)/TEW)</f>
        <v>0.370206022447634</v>
      </c>
      <c r="AO39" s="70">
        <f ca="1">Wwp+(Wfc-Wwp)*(R39-AI39)/R39</f>
        <v>0.346216777928791</v>
      </c>
      <c r="AP39" s="70">
        <f ca="1">Wwp+(Wfc-Wwp)*(S39-AJ39)/S39</f>
        <v>0.349244631760699</v>
      </c>
      <c r="AQ39" s="70"/>
      <c r="AR39" s="70"/>
      <c r="AS39" s="70"/>
      <c r="AT39" s="70"/>
      <c r="AU39" s="70">
        <f ca="1">MIN((1-G39),fw)</f>
        <v>0.750666666666667</v>
      </c>
      <c r="AV39" s="70">
        <f ca="1" t="shared" si="5"/>
        <v>0</v>
      </c>
      <c r="AW39" s="70">
        <f ca="1">MIN((TEW-Y39)/(TEW-REW),1)</f>
        <v>0.0987938945792339</v>
      </c>
      <c r="AX39" s="70">
        <f ca="1">MIN((TEW-Z39)/(TEW-REW),1)</f>
        <v>0.112539783896954</v>
      </c>
      <c r="AY39" s="70">
        <f ca="1">IF((AU39*(TEW-Y39))&gt;0,1/(1+((AV39*(TEW-Z39))/(AU39*(TEW-Y39)))),0)</f>
        <v>1</v>
      </c>
      <c r="AZ39" s="70">
        <f ca="1">MIN((AY39*AW39*(Kcmax-H39)),AU39*Kcmax)</f>
        <v>0.0858447715134397</v>
      </c>
      <c r="BA39" s="70">
        <f ca="1">MIN(((1-AY39)*AX39*(Kcmax-H39)),AV39*Kcmax)</f>
        <v>0</v>
      </c>
      <c r="BB39" s="70">
        <f ca="1" t="shared" si="6"/>
        <v>0.0423214723561258</v>
      </c>
      <c r="BC39" s="70">
        <f ca="1">MIN((R39-AA39)/(R39*(1-(p+0.04*(5-I38)))),1)</f>
        <v>1</v>
      </c>
      <c r="BD39" s="10">
        <f ca="1" t="shared" si="7"/>
        <v>0.138568544482185</v>
      </c>
      <c r="BE39" s="70">
        <f ca="1">MIN(IF((1-AA39/R39)&gt;0,(1-Y39/TEW)/(1-AA39/R39)*(Ze/P39)^0.6,0),1)*BC39*H39*B39</f>
        <v>0.122125795694195</v>
      </c>
      <c r="BF39" s="70">
        <f ca="1">MIN(IF((1-AA39/R39)&gt;0,(1-Z39/TEW)/(1-AA39/R39)*(Ze/P39)^0.6,0),1)*BC39*H39*B39</f>
        <v>0.138568544482185</v>
      </c>
      <c r="BG39"/>
      <c r="BH39" s="10" t="str">
        <f ca="1" t="shared" si="8"/>
        <v/>
      </c>
      <c r="BI39" s="10" t="str">
        <f ca="1">IF(F39&lt;&gt;"",(Moy_Etobs-F39)^2,"")</f>
        <v/>
      </c>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c r="A40" s="38">
        <v>39033</v>
      </c>
      <c r="B40" s="10">
        <v>0.81</v>
      </c>
      <c r="C40" s="39">
        <v>2.574</v>
      </c>
      <c r="D40">
        <v>0.345</v>
      </c>
      <c r="E40" s="39">
        <v>0</v>
      </c>
      <c r="F40" s="10">
        <v>0.672021</v>
      </c>
      <c r="G40" s="10">
        <f ca="1">MIN(MAX(IF(AND(Durpla&gt;ROW()-MATCH(NDVImax,INDEX(D:D,Lig_min,1):INDEX(D:D,Lig_max,1),0)-Lig_min+1,ROW()-MATCH(NDVImax,INDEX(D:D,Lig_min,1):INDEX(D:D,Lig_max,1),0)-Lig_min+1&gt;0,D40*a_fc+b_fc&gt;fc_fin),NDVImax*a_fc+b_fc,D40*a_fc+b_fc),0),1)</f>
        <v>0.26</v>
      </c>
      <c r="H40" s="55">
        <f>MIN(MAX(D40*a_kcb+b_kcb,0),Kcmax)</f>
        <v>0.293096573136489</v>
      </c>
      <c r="I40" s="70">
        <f ca="1" t="shared" si="0"/>
        <v>0.312368923627055</v>
      </c>
      <c r="J40"/>
      <c r="K40"/>
      <c r="L40"/>
      <c r="M40"/>
      <c r="N40"/>
      <c r="O40" s="55"/>
      <c r="P40" s="35">
        <f ca="1">IF(ROW()-MATCH(NDVImax,INDEX(D:D,Lig_min,1):INDEX(D:D,Lig_max,1),0)-Lig_min+1&gt;0,MAX(MIN(Zr_min+MAX(INDEX(G:G,Lig_min,1):INDEX(G:G,Lig_max,1))/MAX(MAX(INDEX(G:G,Lig_min,1):INDEX(G:G,Lig_max,1)),Max_fc_pour_Zrmax)*(Zr_max-Zr_min),Zr_max),Ze+0.001),MAX(MIN(Zr_min+G40/MAX(MAX(INDEX(G:G,Lig_min,1):INDEX(G:G,Lig_max,1)),Max_fc_pour_Zrmax)*(Zr_max-Zr_min),Zr_max),Ze+0.001))</f>
        <v>247.344578119384</v>
      </c>
      <c r="Q40" s="35">
        <f ca="1">IF(Z_sol&gt;0,Z_sol-P40,0.1)</f>
        <v>366.52997294505</v>
      </c>
      <c r="R40" s="35">
        <f ca="1">(Wfc-Wwp)*P40</f>
        <v>32.15479515552</v>
      </c>
      <c r="S40" s="35">
        <f ca="1">(Wfc-Wwp)*Q40</f>
        <v>47.6488964828565</v>
      </c>
      <c r="T40" s="99">
        <f ca="1" t="shared" si="9"/>
        <v>7.59173466478554</v>
      </c>
      <c r="U40" s="99">
        <f ca="1" t="shared" si="10"/>
        <v>3.97433964361673</v>
      </c>
      <c r="V40" s="99">
        <f ca="1">IF(P40&gt;P39,IF(Q40&gt;1,MAX(AI39+(Wfc-Wwp)*(P40-P39)*AJ39/S39,0),AI39/P39*P40),MAX(AI39+(Wfc-Wwp)*(P40-P39)*AI39/R39,0))</f>
        <v>13.2877907731179</v>
      </c>
      <c r="W40" s="99">
        <f ca="1">IF(S40&gt;1,IF(P40&gt;P39,MAX(AJ39-(Wfc-Wwp)*(P40-P39)*AJ39/S39,0),MAX(AJ39-(Wfc-Wwp)*(P40-P39)*AI39/R39,0)),0)</f>
        <v>18.6033637475669</v>
      </c>
      <c r="X40" s="99">
        <f ca="1">IF(AND(OR(AND(dec_vide_TAW&lt;0,V40&gt;R40*(p+0.04*(5-I39))),AND(dec_vide_TAW&gt;0,V40&gt;R40*dec_vide_TAW)),H40&gt;MAX(INDEX(H:H,Lig_min,1):INDEX(H:H,ROW(X40),1))*Kcbmax_stop_irrig*IF(ROW(X40)-lig_kcbmax&gt;0,1,0),MIN(INDEX(H:H,ROW(X40),1):INDEX(H:H,lig_kcbmax,1))&gt;Kcbmin_start_irrig),MIN(MAX(V40-E40*Irri_man-C40,0),Lame_max),0)</f>
        <v>0</v>
      </c>
      <c r="Y40" s="99">
        <f ca="1">MIN(MAX(T40-C40-IF(fw&gt;0,X40/fw*Irri_auto+E40/fw*Irri_man,0),0),TEW)</f>
        <v>5.01773466478554</v>
      </c>
      <c r="Z40" s="99">
        <f ca="1">MIN(MAX(U40-C40,0),TEW)</f>
        <v>1.40033964361673</v>
      </c>
      <c r="AA40" s="99">
        <f ca="1">MIN(MAX(V40-C40-(X40*Irri_auto+E40*Irri_man),0),R40)</f>
        <v>10.7137907731179</v>
      </c>
      <c r="AB40" s="99">
        <f ca="1">MIN(MAX(W40+MIN(V40-C40-(X40*Irri_auto+E40*Irri_man),0),0),S40)</f>
        <v>18.6033637475669</v>
      </c>
      <c r="AC40" s="99">
        <f ca="1">-MIN(W40+MIN(V40-C40-(X40*Irri_auto+E40*Irri_man),0),0)</f>
        <v>0</v>
      </c>
      <c r="AD40" s="39">
        <f ca="1">IF(((R40-AA40)/P40-((Wfc-Wwp)*Ze-Y40)/Ze)/Wfc*DiffE&lt;0,MAX(((R40-AA40)/P40-((Wfc-Wwp)*Ze-Y40)/Ze)/Wfc*DiffE,(R40*Ze-((Wfc-Wwp)*Ze-Y40-AA40)*P40)/(P40+Ze)-AA40),MIN(((R40-AA40)/P40-((Wfc-Wwp)*Ze-Y40)/Ze)/Wfc*DiffE,(R40*Ze-((Wfc-Wwp)*Ze-Y40-AA40)*P40)/(P40+Ze)-AA40))</f>
        <v>-7.93341690441183e-9</v>
      </c>
      <c r="AE40" s="39">
        <f ca="1">IF(((R40-AA40)/P40-((Wfc-Wwp)*Ze-Z40)/Ze)/Wfc*DiffE&lt;0,MAX(((R40-AA40)/P40-((Wfc-Wwp)*Ze-Z40)/Ze)/Wfc*DiffE,(R40*Ze-((Wfc-Wwp)*Ze-Z40-AA40)*P40)/(P40+Ze)-AA40),MIN(((R40-AA40)/P40-((Wfc-Wwp)*Ze-Z40)/Ze)/Wfc*DiffE,(R40*Ze-((Wfc-Wwp)*Ze-Z40-AA40)*P40)/(P40+Ze)-AA40))</f>
        <v>-8.0281317327788e-8</v>
      </c>
      <c r="AF40" s="39">
        <f ca="1">IF(((S40-AB40)/Q40-(R40-AA40)/P40)/Wfc*DiffR&lt;0,MAX(((S40-AB40)/Q40-(R40-AA40)/P40)/Wfc*DiffR,(S40*P40-(R40-AA40-AB40)*Q40)/(P40+Q40)-AB40),MIN(((S40-AB40)/Q40-(R40-AA40)/P40)/Wfc*DiffR,(S40*P40-(R40-AA40-AB40)*Q40)/(P40+Q40)-AB40))</f>
        <v>-1.86003103981289e-8</v>
      </c>
      <c r="AG40" s="99">
        <f ca="1">MIN(MAX(Y40+IF(AU40&gt;0,B40*AZ40/AU40,0)+BE40-AD40,0),TEW)</f>
        <v>5.31962955713006</v>
      </c>
      <c r="AH40" s="99">
        <f ca="1">MIN(MAX(Z40+IF(AV40&gt;0,B40*BA40/AV40,0)+BF40-AE40,0),TEW)</f>
        <v>1.62675308215564</v>
      </c>
      <c r="AI40" s="99">
        <f ca="1" t="shared" si="1"/>
        <v>11.0261597153453</v>
      </c>
      <c r="AJ40" s="99">
        <f ca="1" t="shared" si="2"/>
        <v>18.6033637289666</v>
      </c>
      <c r="AK40" s="70">
        <f ca="1">IF((AU40+AV40)&gt;0,(TEW-(AG40*AU40+AH40*AV40)/(AU40+AV40))/TEW,(TEW-(AG40+AH40)/2)/TEW)</f>
        <v>0.839407409596074</v>
      </c>
      <c r="AL40" s="70">
        <f ca="1" t="shared" si="3"/>
        <v>0.657091277925544</v>
      </c>
      <c r="AM40" s="70">
        <f ca="1" t="shared" si="4"/>
        <v>0.60957409085728</v>
      </c>
      <c r="AN40" s="70">
        <f ca="1">Wwp+(Wfc-Wwp)*IF((AU40+AV40)&gt;0,(TEW-(AG40*AU40+AH40*AV40)/(AU40+AV40))/TEW,(TEW-(AG40+AH40)/2)/TEW)</f>
        <v>0.37912296324749</v>
      </c>
      <c r="AO40" s="70">
        <f ca="1">Wwp+(Wfc-Wwp)*(R40-AI40)/R40</f>
        <v>0.355421866130321</v>
      </c>
      <c r="AP40" s="70">
        <f ca="1">Wwp+(Wfc-Wwp)*(S40-AJ40)/S40</f>
        <v>0.349244631811446</v>
      </c>
      <c r="AQ40" s="70"/>
      <c r="AR40" s="70"/>
      <c r="AS40" s="70"/>
      <c r="AT40" s="70"/>
      <c r="AU40" s="70">
        <f ca="1">MIN((1-G40),fw)</f>
        <v>0.74</v>
      </c>
      <c r="AV40" s="70">
        <f ca="1" t="shared" si="5"/>
        <v>0</v>
      </c>
      <c r="AW40" s="70">
        <f ca="1">MIN((TEW-Y40)/(TEW-REW),1)</f>
        <v>0.107998253263382</v>
      </c>
      <c r="AX40" s="70">
        <f ca="1">MIN((TEW-Z40)/(TEW-REW),1)</f>
        <v>0.121897589929209</v>
      </c>
      <c r="AY40" s="70">
        <f ca="1">IF((AU40*(TEW-Y40))&gt;0,1/(1+((AV40*(TEW-Z40))/(AU40*(TEW-Y40)))),0)</f>
        <v>1</v>
      </c>
      <c r="AZ40" s="70">
        <f ca="1">MIN((AY40*AW40*(Kcmax-H40)),AU40*Kcmax)</f>
        <v>0.0925440733166652</v>
      </c>
      <c r="BA40" s="70">
        <f ca="1">MIN(((1-AY40)*AX40*(Kcmax-H40)),AV40*Kcmax)</f>
        <v>0</v>
      </c>
      <c r="BB40" s="70">
        <f ca="1" t="shared" si="6"/>
        <v>0.0749606993864988</v>
      </c>
      <c r="BC40" s="70">
        <f ca="1">MIN((R40-AA40)/(R40*(1-(p+0.04*(5-I39)))),1)</f>
        <v>1</v>
      </c>
      <c r="BD40" s="10">
        <f ca="1" t="shared" si="7"/>
        <v>0.237408224240556</v>
      </c>
      <c r="BE40" s="70">
        <f ca="1">MIN(IF((1-AA40/R40)&gt;0,(1-Y40/TEW)/(1-AA40/R40)*(Ze/P40)^0.6,0),1)*BC40*H40*B40</f>
        <v>0.200596641996917</v>
      </c>
      <c r="BF40" s="70">
        <f ca="1">MIN(IF((1-AA40/R40)&gt;0,(1-Z40/TEW)/(1-AA40/R40)*(Ze/P40)^0.6,0),1)*BC40*H40*B40</f>
        <v>0.226413358257596</v>
      </c>
      <c r="BG40"/>
      <c r="BH40" s="10">
        <f ca="1" t="shared" si="8"/>
        <v>0.129349616039371</v>
      </c>
      <c r="BI40" s="10">
        <f ca="1">IF(F40&lt;&gt;"",(Moy_Etobs-F40)^2,"")</f>
        <v>0.877690869088226</v>
      </c>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c r="A41" s="38">
        <v>39034</v>
      </c>
      <c r="B41" s="10">
        <v>0.796</v>
      </c>
      <c r="C41" s="39">
        <v>0</v>
      </c>
      <c r="D41">
        <v>0.353</v>
      </c>
      <c r="E41" s="39">
        <v>0</v>
      </c>
      <c r="F41" s="10">
        <v>0.9798678</v>
      </c>
      <c r="G41" s="10">
        <f ca="1">MIN(MAX(IF(AND(Durpla&gt;ROW()-MATCH(NDVImax,INDEX(D:D,Lig_min,1):INDEX(D:D,Lig_max,1),0)-Lig_min+1,ROW()-MATCH(NDVImax,INDEX(D:D,Lig_min,1):INDEX(D:D,Lig_max,1),0)-Lig_min+1&gt;0,D41*a_fc+b_fc&gt;fc_fin),NDVImax*a_fc+b_fc,D41*a_fc+b_fc),0),1)</f>
        <v>0.270666666666667</v>
      </c>
      <c r="H41" s="55">
        <f>MIN(MAX(D41*a_kcb+b_kcb,0),Kcmax)</f>
        <v>0.305121047931832</v>
      </c>
      <c r="I41" s="70">
        <f ca="1" t="shared" si="0"/>
        <v>0.31472761309381</v>
      </c>
      <c r="J41"/>
      <c r="K41"/>
      <c r="L41"/>
      <c r="M41"/>
      <c r="N41"/>
      <c r="O41" s="55"/>
      <c r="P41" s="35">
        <f ca="1">IF(ROW()-MATCH(NDVImax,INDEX(D:D,Lig_min,1):INDEX(D:D,Lig_max,1),0)-Lig_min+1&gt;0,MAX(MIN(Zr_min+MAX(INDEX(G:G,Lig_min,1):INDEX(G:G,Lig_max,1))/MAX(MAX(INDEX(G:G,Lig_min,1):INDEX(G:G,Lig_max,1)),Max_fc_pour_Zrmax)*(Zr_max-Zr_min),Zr_max),Ze+0.001),MAX(MIN(Zr_min+G41/MAX(MAX(INDEX(G:G,Lig_min,1):INDEX(G:G,Lig_max,1)),Max_fc_pour_Zrmax)*(Zr_max-Zr_min),Zr_max),Ze+0.001))</f>
        <v>252.363842862744</v>
      </c>
      <c r="Q41" s="35">
        <f ca="1">IF(Z_sol&gt;0,Z_sol-P41,0.1)</f>
        <v>361.51070820169</v>
      </c>
      <c r="R41" s="35">
        <f ca="1">(Wfc-Wwp)*P41</f>
        <v>32.8072995721567</v>
      </c>
      <c r="S41" s="35">
        <f ca="1">(Wfc-Wwp)*Q41</f>
        <v>46.9963920662197</v>
      </c>
      <c r="T41" s="99">
        <f ca="1" t="shared" si="9"/>
        <v>5.31962955713006</v>
      </c>
      <c r="U41" s="99">
        <f ca="1" t="shared" si="10"/>
        <v>1.62675308215564</v>
      </c>
      <c r="V41" s="99">
        <f ca="1">IF(P41&gt;P40,IF(Q41&gt;1,MAX(AI40+(Wfc-Wwp)*(P41-P40)*AJ40/S40,0),AI40/P40*P41),MAX(AI40+(Wfc-Wwp)*(P41-P40)*AI40/R40,0))</f>
        <v>11.2809143454303</v>
      </c>
      <c r="W41" s="99">
        <f ca="1">IF(S41&gt;1,IF(P41&gt;P40,MAX(AJ40-(Wfc-Wwp)*(P41-P40)*AJ40/S40,0),MAX(AJ40-(Wfc-Wwp)*(P41-P40)*AI40/R40,0)),0)</f>
        <v>18.3486090988815</v>
      </c>
      <c r="X41" s="99">
        <f ca="1">IF(AND(OR(AND(dec_vide_TAW&lt;0,V41&gt;R41*(p+0.04*(5-I40))),AND(dec_vide_TAW&gt;0,V41&gt;R41*dec_vide_TAW)),H41&gt;MAX(INDEX(H:H,Lig_min,1):INDEX(H:H,ROW(X41),1))*Kcbmax_stop_irrig*IF(ROW(X41)-lig_kcbmax&gt;0,1,0),MIN(INDEX(H:H,ROW(X41),1):INDEX(H:H,lig_kcbmax,1))&gt;Kcbmin_start_irrig),MIN(MAX(V41-E41*Irri_man-C41,0),Lame_max),0)</f>
        <v>0</v>
      </c>
      <c r="Y41" s="99">
        <f ca="1">MIN(MAX(T41-C41-IF(fw&gt;0,X41/fw*Irri_auto+E41/fw*Irri_man,0),0),TEW)</f>
        <v>5.31962955713006</v>
      </c>
      <c r="Z41" s="99">
        <f ca="1">MIN(MAX(U41-C41,0),TEW)</f>
        <v>1.62675308215564</v>
      </c>
      <c r="AA41" s="99">
        <f ca="1">MIN(MAX(V41-C41-(X41*Irri_auto+E41*Irri_man),0),R41)</f>
        <v>11.2809143454303</v>
      </c>
      <c r="AB41" s="99">
        <f ca="1">MIN(MAX(W41+MIN(V41-C41-(X41*Irri_auto+E41*Irri_man),0),0),S41)</f>
        <v>18.3486090988815</v>
      </c>
      <c r="AC41" s="99">
        <f ca="1">-MIN(W41+MIN(V41-C41-(X41*Irri_auto+E41*Irri_man),0),0)</f>
        <v>0</v>
      </c>
      <c r="AD41" s="39">
        <f ca="1">IF(((R41-AA41)/P41-((Wfc-Wwp)*Ze-Y41)/Ze)/Wfc*DiffE&lt;0,MAX(((R41-AA41)/P41-((Wfc-Wwp)*Ze-Y41)/Ze)/Wfc*DiffE,(R41*Ze-((Wfc-Wwp)*Ze-Y41-AA41)*P41)/(P41+Ze)-AA41),MIN(((R41-AA41)/P41-((Wfc-Wwp)*Ze-Y41)/Ze)/Wfc*DiffE,(R41*Ze-((Wfc-Wwp)*Ze-Y41-AA41)*P41)/(P41+Ze)-AA41))</f>
        <v>-5.35989108170244e-9</v>
      </c>
      <c r="AE41" s="39">
        <f ca="1">IF(((R41-AA41)/P41-((Wfc-Wwp)*Ze-Z41)/Ze)/Wfc*DiffE&lt;0,MAX(((R41-AA41)/P41-((Wfc-Wwp)*Ze-Z41)/Ze)/Wfc*DiffE,(R41*Ze-((Wfc-Wwp)*Ze-Z41-AA41)*P41)/(P41+Ze)-AA41),MIN(((R41-AA41)/P41-((Wfc-Wwp)*Ze-Z41)/Ze)/Wfc*DiffE,(R41*Ze-((Wfc-Wwp)*Ze-Z41-AA41)*P41)/(P41+Ze)-AA41))</f>
        <v>-7.92174205811908e-8</v>
      </c>
      <c r="AF41" s="39">
        <f ca="1">IF(((S41-AB41)/Q41-(R41-AA41)/P41)/Wfc*DiffR&lt;0,MAX(((S41-AB41)/Q41-(R41-AA41)/P41)/Wfc*DiffR,(S41*P41-(R41-AA41-AB41)*Q41)/(P41+Q41)-AB41),MIN(((S41-AB41)/Q41-(R41-AA41)/P41)/Wfc*DiffR,(S41*P41-(R41-AA41-AB41)*Q41)/(P41+Q41)-AB41))</f>
        <v>-1.51359382470803e-8</v>
      </c>
      <c r="AG41" s="99">
        <f ca="1">MIN(MAX(Y41+IF(AU41&gt;0,B41*AZ41/AU41,0)+BE41-AD41,0),TEW)</f>
        <v>5.62198484739734</v>
      </c>
      <c r="AH41" s="99">
        <f ca="1">MIN(MAX(Z41+IF(AV41&gt;0,B41*BA41/AV41,0)+BF41-AE41,0),TEW)</f>
        <v>1.85766427521334</v>
      </c>
      <c r="AI41" s="99">
        <f ca="1" t="shared" si="1"/>
        <v>11.59564197366</v>
      </c>
      <c r="AJ41" s="99">
        <f ca="1" t="shared" si="2"/>
        <v>18.3486090837456</v>
      </c>
      <c r="AK41" s="70">
        <f ca="1">IF((AU41+AV41)&gt;0,(TEW-(AG41*AU41+AH41*AV41)/(AU41+AV41))/TEW,(TEW-(AG41+AH41)/2)/TEW)</f>
        <v>0.83027970272008</v>
      </c>
      <c r="AL41" s="70">
        <f ca="1" t="shared" si="3"/>
        <v>0.646552988972577</v>
      </c>
      <c r="AM41" s="70">
        <f ca="1" t="shared" si="4"/>
        <v>0.609574091179346</v>
      </c>
      <c r="AN41" s="70">
        <f ca="1">Wwp+(Wfc-Wwp)*IF((AU41+AV41)&gt;0,(TEW-(AG41*AU41+AH41*AV41)/(AU41+AV41))/TEW,(TEW-(AG41+AH41)/2)/TEW)</f>
        <v>0.37793636135361</v>
      </c>
      <c r="AO41" s="70">
        <f ca="1">Wwp+(Wfc-Wwp)*(R41-AI41)/R41</f>
        <v>0.354051888566435</v>
      </c>
      <c r="AP41" s="70">
        <f ca="1">Wwp+(Wfc-Wwp)*(S41-AJ41)/S41</f>
        <v>0.349244631853315</v>
      </c>
      <c r="AQ41" s="70"/>
      <c r="AR41" s="70"/>
      <c r="AS41" s="70"/>
      <c r="AT41" s="70"/>
      <c r="AU41" s="70">
        <f ca="1">MIN((1-G41),fw)</f>
        <v>0.729333333333333</v>
      </c>
      <c r="AV41" s="70">
        <f ca="1" t="shared" si="5"/>
        <v>0</v>
      </c>
      <c r="AW41" s="70">
        <f ca="1">MIN((TEW-Y41)/(TEW-REW),1)</f>
        <v>0.106838264176806</v>
      </c>
      <c r="AX41" s="70">
        <f ca="1">MIN((TEW-Z41)/(TEW-REW),1)</f>
        <v>0.12102762781849</v>
      </c>
      <c r="AY41" s="70">
        <f ca="1">IF((AU41*(TEW-Y41))&gt;0,1/(1+((AV41*(TEW-Z41))/(AU41*(TEW-Y41)))),0)</f>
        <v>1</v>
      </c>
      <c r="AZ41" s="70">
        <f ca="1">MIN((AY41*AW41*(Kcmax-H41)),AU41*Kcmax)</f>
        <v>0.0902654006784818</v>
      </c>
      <c r="BA41" s="70">
        <f ca="1">MIN(((1-AY41)*AX41*(Kcmax-H41)),AV41*Kcmax)</f>
        <v>0</v>
      </c>
      <c r="BB41" s="70">
        <f ca="1" t="shared" si="6"/>
        <v>0.0718512589400715</v>
      </c>
      <c r="BC41" s="70">
        <f ca="1">MIN((R41-AA41)/(R41*(1-(p+0.04*(5-I40)))),1)</f>
        <v>1</v>
      </c>
      <c r="BD41" s="10">
        <f ca="1" t="shared" si="7"/>
        <v>0.242876354153739</v>
      </c>
      <c r="BE41" s="70">
        <f ca="1">MIN(IF((1-AA41/R41)&gt;0,(1-Y41/TEW)/(1-AA41/R41)*(Ze/P41)^0.6,0),1)*BC41*H41*B41</f>
        <v>0.203838933527038</v>
      </c>
      <c r="BF41" s="70">
        <f ca="1">MIN(IF((1-AA41/R41)&gt;0,(1-Z41/TEW)/(1-AA41/R41)*(Ze/P41)^0.6,0),1)*BC41*H41*B41</f>
        <v>0.23091111384028</v>
      </c>
      <c r="BG41"/>
      <c r="BH41" s="10">
        <f ca="1" t="shared" si="8"/>
        <v>0.442411468237601</v>
      </c>
      <c r="BI41" s="10">
        <f ca="1">IF(F41&lt;&gt;"",(Moy_Etobs-F41)^2,"")</f>
        <v>0.395647003957024</v>
      </c>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c r="A42" s="38">
        <v>39035</v>
      </c>
      <c r="B42" s="10">
        <v>0.646</v>
      </c>
      <c r="C42" s="39">
        <v>0.198</v>
      </c>
      <c r="D42">
        <v>0.361</v>
      </c>
      <c r="E42" s="39">
        <v>0</v>
      </c>
      <c r="F42" s="10">
        <v>0.594864</v>
      </c>
      <c r="G42" s="10">
        <f ca="1">MIN(MAX(IF(AND(Durpla&gt;ROW()-MATCH(NDVImax,INDEX(D:D,Lig_min,1):INDEX(D:D,Lig_max,1),0)-Lig_min+1,ROW()-MATCH(NDVImax,INDEX(D:D,Lig_min,1):INDEX(D:D,Lig_max,1),0)-Lig_min+1&gt;0,D42*a_fc+b_fc&gt;fc_fin),NDVImax*a_fc+b_fc,D42*a_fc+b_fc),0),1)</f>
        <v>0.281333333333333</v>
      </c>
      <c r="H42" s="55">
        <f>MIN(MAX(D42*a_kcb+b_kcb,0),Kcmax)</f>
        <v>0.317145522727175</v>
      </c>
      <c r="I42" s="70">
        <f ca="1" t="shared" si="0"/>
        <v>0.262141825264796</v>
      </c>
      <c r="J42"/>
      <c r="K42"/>
      <c r="L42"/>
      <c r="M42"/>
      <c r="N42"/>
      <c r="O42" s="55"/>
      <c r="P42" s="35">
        <f ca="1">IF(ROW()-MATCH(NDVImax,INDEX(D:D,Lig_min,1):INDEX(D:D,Lig_max,1),0)-Lig_min+1&gt;0,MAX(MIN(Zr_min+MAX(INDEX(G:G,Lig_min,1):INDEX(G:G,Lig_max,1))/MAX(MAX(INDEX(G:G,Lig_min,1):INDEX(G:G,Lig_max,1)),Max_fc_pour_Zrmax)*(Zr_max-Zr_min),Zr_max),Ze+0.001),MAX(MIN(Zr_min+G42/MAX(MAX(INDEX(G:G,Lig_min,1):INDEX(G:G,Lig_max,1)),Max_fc_pour_Zrmax)*(Zr_max-Zr_min),Zr_max),Ze+0.001))</f>
        <v>257.383107606103</v>
      </c>
      <c r="Q42" s="35">
        <f ca="1">IF(Z_sol&gt;0,Z_sol-P42,0.1)</f>
        <v>356.491443458331</v>
      </c>
      <c r="R42" s="35">
        <f ca="1">(Wfc-Wwp)*P42</f>
        <v>33.4598039887934</v>
      </c>
      <c r="S42" s="35">
        <f ca="1">(Wfc-Wwp)*Q42</f>
        <v>46.343887649583</v>
      </c>
      <c r="T42" s="99">
        <f ca="1" t="shared" si="9"/>
        <v>5.62198484739734</v>
      </c>
      <c r="U42" s="99">
        <f ca="1" t="shared" si="10"/>
        <v>1.85766427521334</v>
      </c>
      <c r="V42" s="99">
        <f ca="1">IF(P42&gt;P41,IF(Q42&gt;1,MAX(AI41+(Wfc-Wwp)*(P42-P41)*AJ41/S41,0),AI41/P41*P42),MAX(AI41+(Wfc-Wwp)*(P42-P41)*AI41/R41,0))</f>
        <v>11.8503966035349</v>
      </c>
      <c r="W42" s="99">
        <f ca="1">IF(S42&gt;1,IF(P42&gt;P41,MAX(AJ41-(Wfc-Wwp)*(P42-P41)*AJ41/S41,0),MAX(AJ41-(Wfc-Wwp)*(P42-P41)*AI41/R41,0)),0)</f>
        <v>18.0938544538707</v>
      </c>
      <c r="X42" s="99">
        <f ca="1">IF(AND(OR(AND(dec_vide_TAW&lt;0,V42&gt;R42*(p+0.04*(5-I41))),AND(dec_vide_TAW&gt;0,V42&gt;R42*dec_vide_TAW)),H42&gt;MAX(INDEX(H:H,Lig_min,1):INDEX(H:H,ROW(X42),1))*Kcbmax_stop_irrig*IF(ROW(X42)-lig_kcbmax&gt;0,1,0),MIN(INDEX(H:H,ROW(X42),1):INDEX(H:H,lig_kcbmax,1))&gt;Kcbmin_start_irrig),MIN(MAX(V42-E42*Irri_man-C42,0),Lame_max),0)</f>
        <v>0</v>
      </c>
      <c r="Y42" s="99">
        <f ca="1">MIN(MAX(T42-C42-IF(fw&gt;0,X42/fw*Irri_auto+E42/fw*Irri_man,0),0),TEW)</f>
        <v>5.42398484739734</v>
      </c>
      <c r="Z42" s="99">
        <f ca="1">MIN(MAX(U42-C42,0),TEW)</f>
        <v>1.65966427521334</v>
      </c>
      <c r="AA42" s="99">
        <f ca="1">MIN(MAX(V42-C42-(X42*Irri_auto+E42*Irri_man),0),R42)</f>
        <v>11.6523966035349</v>
      </c>
      <c r="AB42" s="99">
        <f ca="1">MIN(MAX(W42+MIN(V42-C42-(X42*Irri_auto+E42*Irri_man),0),0),S42)</f>
        <v>18.0938544538707</v>
      </c>
      <c r="AC42" s="99">
        <f ca="1">-MIN(W42+MIN(V42-C42-(X42*Irri_auto+E42*Irri_man),0),0)</f>
        <v>0</v>
      </c>
      <c r="AD42" s="39">
        <f ca="1">IF(((R42-AA42)/P42-((Wfc-Wwp)*Ze-Y42)/Ze)/Wfc*DiffE&lt;0,MAX(((R42-AA42)/P42-((Wfc-Wwp)*Ze-Y42)/Ze)/Wfc*DiffE,(R42*Ze-((Wfc-Wwp)*Ze-Y42-AA42)*P42)/(P42+Ze)-AA42),MIN(((R42-AA42)/P42-((Wfc-Wwp)*Ze-Y42)/Ze)/Wfc*DiffE,(R42*Ze-((Wfc-Wwp)*Ze-Y42-AA42)*P42)/(P42+Ze)-AA42))</f>
        <v>-4.70174599825884e-9</v>
      </c>
      <c r="AE42" s="39">
        <f ca="1">IF(((R42-AA42)/P42-((Wfc-Wwp)*Ze-Z42)/Ze)/Wfc*DiffE&lt;0,MAX(((R42-AA42)/P42-((Wfc-Wwp)*Ze-Z42)/Ze)/Wfc*DiffE,(R42*Ze-((Wfc-Wwp)*Ze-Z42-AA42)*P42)/(P42+Ze)-AA42),MIN(((R42-AA42)/P42-((Wfc-Wwp)*Ze-Z42)/Ze)/Wfc*DiffE,(R42*Ze-((Wfc-Wwp)*Ze-Z42-AA42)*P42)/(P42+Ze)-AA42))</f>
        <v>-7.99881574419388e-8</v>
      </c>
      <c r="AF42" s="39">
        <f ca="1">IF(((S42-AB42)/Q42-(R42-AA42)/P42)/Wfc*DiffR&lt;0,MAX(((S42-AB42)/Q42-(R42-AA42)/P42)/Wfc*DiffR,(S42*P42-(R42-AA42-AB42)*Q42)/(P42+Q42)-AB42),MIN(((S42-AB42)/Q42-(R42-AA42)/P42)/Wfc*DiffR,(S42*P42-(R42-AA42-AB42)*Q42)/(P42+Q42)-AB42))</f>
        <v>-1.37069774205067e-8</v>
      </c>
      <c r="AG42" s="99">
        <f ca="1">MIN(MAX(Y42+IF(AU42&gt;0,B42*AZ42/AU42,0)+BE42-AD42,0),TEW)</f>
        <v>5.67409913352567</v>
      </c>
      <c r="AH42" s="99">
        <f ca="1">MIN(MAX(Z42+IF(AV42&gt;0,B42*BA42/AV42,0)+BF42-AE42,0),TEW)</f>
        <v>1.85325524904997</v>
      </c>
      <c r="AI42" s="99">
        <f ca="1" t="shared" si="1"/>
        <v>11.9145384425067</v>
      </c>
      <c r="AJ42" s="99">
        <f ca="1" t="shared" si="2"/>
        <v>18.0938544401637</v>
      </c>
      <c r="AK42" s="70">
        <f ca="1">IF((AU42+AV42)&gt;0,(TEW-(AG42*AU42+AH42*AV42)/(AU42+AV42))/TEW,(TEW-(AG42+AH42)/2)/TEW)</f>
        <v>0.828706441252055</v>
      </c>
      <c r="AL42" s="70">
        <f ca="1" t="shared" si="3"/>
        <v>0.643914876294637</v>
      </c>
      <c r="AM42" s="70">
        <f ca="1" t="shared" si="4"/>
        <v>0.609574091475113</v>
      </c>
      <c r="AN42" s="70">
        <f ca="1">Wwp+(Wfc-Wwp)*IF((AU42+AV42)&gt;0,(TEW-(AG42*AU42+AH42*AV42)/(AU42+AV42))/TEW,(TEW-(AG42+AH42)/2)/TEW)</f>
        <v>0.377731837362767</v>
      </c>
      <c r="AO42" s="70">
        <f ca="1">Wwp+(Wfc-Wwp)*(R42-AI42)/R42</f>
        <v>0.353708933918303</v>
      </c>
      <c r="AP42" s="70">
        <f ca="1">Wwp+(Wfc-Wwp)*(S42-AJ42)/S42</f>
        <v>0.349244631891765</v>
      </c>
      <c r="AQ42" s="70"/>
      <c r="AR42" s="70"/>
      <c r="AS42" s="70"/>
      <c r="AT42" s="70"/>
      <c r="AU42" s="70">
        <f ca="1">MIN((1-G42),fw)</f>
        <v>0.718666666666667</v>
      </c>
      <c r="AV42" s="70">
        <f ca="1" t="shared" si="5"/>
        <v>0</v>
      </c>
      <c r="AW42" s="70">
        <f ca="1">MIN((TEW-Y42)/(TEW-REW),1)</f>
        <v>0.106437293504873</v>
      </c>
      <c r="AX42" s="70">
        <f ca="1">MIN((TEW-Z42)/(TEW-REW),1)</f>
        <v>0.120901171141875</v>
      </c>
      <c r="AY42" s="70">
        <f ca="1">IF((AU42*(TEW-Y42))&gt;0,1/(1+((AV42*(TEW-Z42))/(AU42*(TEW-Y42)))),0)</f>
        <v>1</v>
      </c>
      <c r="AZ42" s="70">
        <f ca="1">MIN((AY42*AW42*(Kcmax-H42)),AU42*Kcmax)</f>
        <v>0.0886467764443351</v>
      </c>
      <c r="BA42" s="70">
        <f ca="1">MIN(((1-AY42)*AX42*(Kcmax-H42)),AV42*Kcmax)</f>
        <v>0</v>
      </c>
      <c r="BB42" s="70">
        <f ca="1" t="shared" si="6"/>
        <v>0.0572658175830405</v>
      </c>
      <c r="BC42" s="70">
        <f ca="1">MIN((R42-AA42)/(R42*(1-(p+0.04*(5-I41)))),1)</f>
        <v>1</v>
      </c>
      <c r="BD42" s="10">
        <f ca="1" t="shared" si="7"/>
        <v>0.204876007681755</v>
      </c>
      <c r="BE42" s="70">
        <f ca="1">MIN(IF((1-AA42/R42)&gt;0,(1-Y42/TEW)/(1-AA42/R42)*(Ze/P42)^0.6,0),1)*BC42*H42*B42</f>
        <v>0.170430861784126</v>
      </c>
      <c r="BF42" s="70">
        <f ca="1">MIN(IF((1-AA42/R42)&gt;0,(1-Z42/TEW)/(1-AA42/R42)*(Ze/P42)^0.6,0),1)*BC42*H42*B42</f>
        <v>0.193590893848466</v>
      </c>
      <c r="BG42"/>
      <c r="BH42" s="10">
        <f ca="1" t="shared" si="8"/>
        <v>0.110704045560524</v>
      </c>
      <c r="BI42" s="10">
        <f ca="1">IF(F42&lt;&gt;"",(Moy_Etobs-F42)^2,"")</f>
        <v>1.02821338531185</v>
      </c>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c r="A43" s="38">
        <v>39036</v>
      </c>
      <c r="B43" s="10">
        <v>1.362</v>
      </c>
      <c r="C43" s="39">
        <v>0.198</v>
      </c>
      <c r="D43">
        <v>0.373</v>
      </c>
      <c r="E43" s="39">
        <v>0</v>
      </c>
      <c r="F43"/>
      <c r="G43" s="10">
        <f ca="1">MIN(MAX(IF(AND(Durpla&gt;ROW()-MATCH(NDVImax,INDEX(D:D,Lig_min,1):INDEX(D:D,Lig_max,1),0)-Lig_min+1,ROW()-MATCH(NDVImax,INDEX(D:D,Lig_min,1):INDEX(D:D,Lig_max,1),0)-Lig_min+1&gt;0,D43*a_fc+b_fc&gt;fc_fin),NDVImax*a_fc+b_fc,D43*a_fc+b_fc),0),1)</f>
        <v>0.297333333333333</v>
      </c>
      <c r="H43" s="55">
        <f>MIN(MAX(D43*a_kcb+b_kcb,0),Kcmax)</f>
        <v>0.33518223492019</v>
      </c>
      <c r="I43" s="70">
        <f ca="1" t="shared" si="0"/>
        <v>0.574418149910738</v>
      </c>
      <c r="J43"/>
      <c r="K43"/>
      <c r="L43"/>
      <c r="M43"/>
      <c r="N43"/>
      <c r="O43" s="55"/>
      <c r="P43" s="35">
        <f ca="1">IF(ROW()-MATCH(NDVImax,INDEX(D:D,Lig_min,1):INDEX(D:D,Lig_max,1),0)-Lig_min+1&gt;0,MAX(MIN(Zr_min+MAX(INDEX(G:G,Lig_min,1):INDEX(G:G,Lig_max,1))/MAX(MAX(INDEX(G:G,Lig_min,1):INDEX(G:G,Lig_max,1)),Max_fc_pour_Zrmax)*(Zr_max-Zr_min),Zr_max),Ze+0.001),MAX(MIN(Zr_min+G43/MAX(MAX(INDEX(G:G,Lig_min,1):INDEX(G:G,Lig_max,1)),Max_fc_pour_Zrmax)*(Zr_max-Zr_min),Zr_max),Ze+0.001))</f>
        <v>264.912004721142</v>
      </c>
      <c r="Q43" s="35">
        <f ca="1">IF(Z_sol&gt;0,Z_sol-P43,0.1)</f>
        <v>348.962546343292</v>
      </c>
      <c r="R43" s="35">
        <f ca="1">(Wfc-Wwp)*P43</f>
        <v>34.4385606137485</v>
      </c>
      <c r="S43" s="35">
        <f ca="1">(Wfc-Wwp)*Q43</f>
        <v>45.3651310246279</v>
      </c>
      <c r="T43" s="99">
        <f ca="1" t="shared" si="9"/>
        <v>5.67409913352567</v>
      </c>
      <c r="U43" s="99">
        <f ca="1" t="shared" si="10"/>
        <v>1.85325524904997</v>
      </c>
      <c r="V43" s="99">
        <f ca="1">IF(P43&gt;P42,IF(Q43&gt;1,MAX(AI42+(Wfc-Wwp)*(P43-P42)*AJ42/S42,0),AI42/P42*P43),MAX(AI42+(Wfc-Wwp)*(P43-P42)*AI42/R42,0))</f>
        <v>12.2966703870295</v>
      </c>
      <c r="W43" s="99">
        <f ca="1">IF(S43&gt;1,IF(P43&gt;P42,MAX(AJ42-(Wfc-Wwp)*(P43-P42)*AJ42/S42,0),MAX(AJ42-(Wfc-Wwp)*(P43-P42)*AI42/R42,0)),0)</f>
        <v>17.7117224956409</v>
      </c>
      <c r="X43" s="99">
        <f ca="1">IF(AND(OR(AND(dec_vide_TAW&lt;0,V43&gt;R43*(p+0.04*(5-I42))),AND(dec_vide_TAW&gt;0,V43&gt;R43*dec_vide_TAW)),H43&gt;MAX(INDEX(H:H,Lig_min,1):INDEX(H:H,ROW(X43),1))*Kcbmax_stop_irrig*IF(ROW(X43)-lig_kcbmax&gt;0,1,0),MIN(INDEX(H:H,ROW(X43),1):INDEX(H:H,lig_kcbmax,1))&gt;Kcbmin_start_irrig),MIN(MAX(V43-E43*Irri_man-C43,0),Lame_max),0)</f>
        <v>0</v>
      </c>
      <c r="Y43" s="99">
        <f ca="1">MIN(MAX(T43-C43-IF(fw&gt;0,X43/fw*Irri_auto+E43/fw*Irri_man,0),0),TEW)</f>
        <v>5.47609913352566</v>
      </c>
      <c r="Z43" s="99">
        <f ca="1">MIN(MAX(U43-C43,0),TEW)</f>
        <v>1.65525524904997</v>
      </c>
      <c r="AA43" s="99">
        <f ca="1">MIN(MAX(V43-C43-(X43*Irri_auto+E43*Irri_man),0),R43)</f>
        <v>12.0986703870295</v>
      </c>
      <c r="AB43" s="99">
        <f ca="1">MIN(MAX(W43+MIN(V43-C43-(X43*Irri_auto+E43*Irri_man),0),0),S43)</f>
        <v>17.7117224956409</v>
      </c>
      <c r="AC43" s="99">
        <f ca="1">-MIN(W43+MIN(V43-C43-(X43*Irri_auto+E43*Irri_man),0),0)</f>
        <v>0</v>
      </c>
      <c r="AD43" s="39">
        <f ca="1">IF(((R43-AA43)/P43-((Wfc-Wwp)*Ze-Y43)/Ze)/Wfc*DiffE&lt;0,MAX(((R43-AA43)/P43-((Wfc-Wwp)*Ze-Y43)/Ze)/Wfc*DiffE,(R43*Ze-((Wfc-Wwp)*Ze-Y43-AA43)*P43)/(P43+Ze)-AA43),MIN(((R43-AA43)/P43-((Wfc-Wwp)*Ze-Y43)/Ze)/Wfc*DiffE,(R43*Ze-((Wfc-Wwp)*Ze-Y43-AA43)*P43)/(P43+Ze)-AA43))</f>
        <v>-4.65433032599577e-9</v>
      </c>
      <c r="AE43" s="39">
        <f ca="1">IF(((R43-AA43)/P43-((Wfc-Wwp)*Ze-Z43)/Ze)/Wfc*DiffE&lt;0,MAX(((R43-AA43)/P43-((Wfc-Wwp)*Ze-Z43)/Ze)/Wfc*DiffE,(R43*Ze-((Wfc-Wwp)*Ze-Z43-AA43)*P43)/(P43+Ze)-AA43),MIN(((R43-AA43)/P43-((Wfc-Wwp)*Ze-Z43)/Ze)/Wfc*DiffE,(R43*Ze-((Wfc-Wwp)*Ze-Z43-AA43)*P43)/(P43+Ze)-AA43))</f>
        <v>-8.10712080155097e-8</v>
      </c>
      <c r="AF43" s="39">
        <f ca="1">IF(((S43-AB43)/Q43-(R43-AA43)/P43)/Wfc*DiffR&lt;0,MAX(((S43-AB43)/Q43-(R43-AA43)/P43)/Wfc*DiffR,(S43*P43-(R43-AA43-AB43)*Q43)/(P43+Q43)-AB43),MIN(((S43-AB43)/Q43-(R43-AA43)/P43)/Wfc*DiffR,(S43*P43-(R43-AA43-AB43)*Q43)/(P43+Q43)-AB43))</f>
        <v>-1.27121072740792e-8</v>
      </c>
      <c r="AG43" s="99">
        <f ca="1">MIN(MAX(Y43+IF(AU43&gt;0,B43*AZ43/AU43,0)+BE43-AD43,0),TEW)</f>
        <v>6.01819639727932</v>
      </c>
      <c r="AH43" s="99">
        <f ca="1">MIN(MAX(Z43+IF(AV43&gt;0,B43*BA43/AV43,0)+BF43-AE43,0),TEW)</f>
        <v>2.08128948192343</v>
      </c>
      <c r="AI43" s="99">
        <f ca="1" t="shared" si="1"/>
        <v>12.6730885496524</v>
      </c>
      <c r="AJ43" s="99">
        <f ca="1" t="shared" si="2"/>
        <v>17.7117224829288</v>
      </c>
      <c r="AK43" s="70">
        <f ca="1">IF((AU43+AV43)&gt;0,(TEW-(AG43*AU43+AH43*AV43)/(AU43+AV43))/TEW,(TEW-(AG43+AH43)/2)/TEW)</f>
        <v>0.818318599327417</v>
      </c>
      <c r="AL43" s="70">
        <f ca="1" t="shared" si="3"/>
        <v>0.632008762160836</v>
      </c>
      <c r="AM43" s="70">
        <f ca="1" t="shared" si="4"/>
        <v>0.609574091755331</v>
      </c>
      <c r="AN43" s="70">
        <f ca="1">Wwp+(Wfc-Wwp)*IF((AU43+AV43)&gt;0,(TEW-(AG43*AU43+AH43*AV43)/(AU43+AV43))/TEW,(TEW-(AG43+AH43)/2)/TEW)</f>
        <v>0.376381417912564</v>
      </c>
      <c r="AO43" s="70">
        <f ca="1">Wwp+(Wfc-Wwp)*(R43-AI43)/R43</f>
        <v>0.352161139080909</v>
      </c>
      <c r="AP43" s="70">
        <f ca="1">Wwp+(Wfc-Wwp)*(S43-AJ43)/S43</f>
        <v>0.349244631928193</v>
      </c>
      <c r="AQ43" s="70"/>
      <c r="AR43" s="70"/>
      <c r="AS43" s="70"/>
      <c r="AT43" s="70"/>
      <c r="AU43" s="70">
        <f ca="1">MIN((1-G43),fw)</f>
        <v>0.702666666666667</v>
      </c>
      <c r="AV43" s="70">
        <f ca="1" t="shared" si="5"/>
        <v>0</v>
      </c>
      <c r="AW43" s="70">
        <f ca="1">MIN((TEW-Y43)/(TEW-REW),1)</f>
        <v>0.106237051617062</v>
      </c>
      <c r="AX43" s="70">
        <f ca="1">MIN((TEW-Z43)/(TEW-REW),1)</f>
        <v>0.120918112210974</v>
      </c>
      <c r="AY43" s="70">
        <f ca="1">IF((AU43*(TEW-Y43))&gt;0,1/(1+((AV43*(TEW-Z43))/(AU43*(TEW-Y43)))),0)</f>
        <v>1</v>
      </c>
      <c r="AZ43" s="70">
        <f ca="1">MIN((AY43*AW43*(Kcmax-H43)),AU43*Kcmax)</f>
        <v>0.0865638369672827</v>
      </c>
      <c r="BA43" s="70">
        <f ca="1">MIN(((1-AY43)*AX43*(Kcmax-H43)),AV43*Kcmax)</f>
        <v>0</v>
      </c>
      <c r="BB43" s="70">
        <f ca="1" t="shared" si="6"/>
        <v>0.117899945949439</v>
      </c>
      <c r="BC43" s="70">
        <f ca="1">MIN((R43-AA43)/(R43*(1-(p+0.04*(5-I42)))),1)</f>
        <v>1</v>
      </c>
      <c r="BD43" s="10">
        <f ca="1" t="shared" si="7"/>
        <v>0.456518203961299</v>
      </c>
      <c r="BE43" s="70">
        <f ca="1">MIN(IF((1-AA43/R43)&gt;0,(1-Y43/TEW)/(1-AA43/R43)*(Ze/P43)^0.6,0),1)*BC43*H43*B43</f>
        <v>0.37430796220733</v>
      </c>
      <c r="BF43" s="70">
        <f ca="1">MIN(IF((1-AA43/R43)&gt;0,(1-Z43/TEW)/(1-AA43/R43)*(Ze/P43)^0.6,0),1)*BC43*H43*B43</f>
        <v>0.426034151802251</v>
      </c>
      <c r="BG43"/>
      <c r="BH43" s="10" t="str">
        <f ca="1" t="shared" si="8"/>
        <v/>
      </c>
      <c r="BI43" s="10" t="str">
        <f ca="1">IF(F43&lt;&gt;"",(Moy_Etobs-F43)^2,"")</f>
        <v/>
      </c>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c r="A44" s="38">
        <v>39037</v>
      </c>
      <c r="B44" s="10">
        <v>1.671</v>
      </c>
      <c r="C44" s="39">
        <v>0</v>
      </c>
      <c r="D44">
        <v>0.384</v>
      </c>
      <c r="E44" s="39">
        <v>0</v>
      </c>
      <c r="F44"/>
      <c r="G44" s="10">
        <f ca="1">MIN(MAX(IF(AND(Durpla&gt;ROW()-MATCH(NDVImax,INDEX(D:D,Lig_min,1):INDEX(D:D,Lig_max,1),0)-Lig_min+1,ROW()-MATCH(NDVImax,INDEX(D:D,Lig_min,1):INDEX(D:D,Lig_max,1),0)-Lig_min+1&gt;0,D44*a_fc+b_fc&gt;fc_fin),NDVImax*a_fc+b_fc,D44*a_fc+b_fc),0),1)</f>
        <v>0.312</v>
      </c>
      <c r="H44" s="55">
        <f>MIN(MAX(D44*a_kcb+b_kcb,0),Kcmax)</f>
        <v>0.351715887763787</v>
      </c>
      <c r="I44" s="70">
        <f ca="1" t="shared" si="0"/>
        <v>0.726651838149166</v>
      </c>
      <c r="J44"/>
      <c r="K44"/>
      <c r="L44"/>
      <c r="M44"/>
      <c r="N44"/>
      <c r="O44" s="55"/>
      <c r="P44" s="35">
        <f ca="1">IF(ROW()-MATCH(NDVImax,INDEX(D:D,Lig_min,1):INDEX(D:D,Lig_max,1),0)-Lig_min+1&gt;0,MAX(MIN(Zr_min+MAX(INDEX(G:G,Lig_min,1):INDEX(G:G,Lig_max,1))/MAX(MAX(INDEX(G:G,Lig_min,1):INDEX(G:G,Lig_max,1)),Max_fc_pour_Zrmax)*(Zr_max-Zr_min),Zr_max),Ze+0.001),MAX(MIN(Zr_min+G44/MAX(MAX(INDEX(G:G,Lig_min,1):INDEX(G:G,Lig_max,1)),Max_fc_pour_Zrmax)*(Zr_max-Zr_min),Zr_max),Ze+0.001))</f>
        <v>271.813493743261</v>
      </c>
      <c r="Q44" s="35">
        <f ca="1">IF(Z_sol&gt;0,Z_sol-P44,0.1)</f>
        <v>342.061057321173</v>
      </c>
      <c r="R44" s="35">
        <f ca="1">(Wfc-Wwp)*P44</f>
        <v>35.335754186624</v>
      </c>
      <c r="S44" s="35">
        <f ca="1">(Wfc-Wwp)*Q44</f>
        <v>44.4679374517525</v>
      </c>
      <c r="T44" s="99">
        <f ca="1" t="shared" si="9"/>
        <v>6.01819639727932</v>
      </c>
      <c r="U44" s="99">
        <f ca="1" t="shared" si="10"/>
        <v>2.08128948192343</v>
      </c>
      <c r="V44" s="99">
        <f ca="1">IF(P44&gt;P43,IF(Q44&gt;1,MAX(AI43+(Wfc-Wwp)*(P44-P43)*AJ43/S43,0),AI43/P43*P44),MAX(AI43+(Wfc-Wwp)*(P44-P43)*AI43/R43,0))</f>
        <v>13.0233761652136</v>
      </c>
      <c r="W44" s="99">
        <f ca="1">IF(S44&gt;1,IF(P44&gt;P43,MAX(AJ43-(Wfc-Wwp)*(P44-P43)*AJ43/S43,0),MAX(AJ43-(Wfc-Wwp)*(P44-P43)*AI43/R43,0)),0)</f>
        <v>17.3614348673676</v>
      </c>
      <c r="X44" s="99">
        <f ca="1">IF(AND(OR(AND(dec_vide_TAW&lt;0,V44&gt;R44*(p+0.04*(5-I43))),AND(dec_vide_TAW&gt;0,V44&gt;R44*dec_vide_TAW)),H44&gt;MAX(INDEX(H:H,Lig_min,1):INDEX(H:H,ROW(X44),1))*Kcbmax_stop_irrig*IF(ROW(X44)-lig_kcbmax&gt;0,1,0),MIN(INDEX(H:H,ROW(X44),1):INDEX(H:H,lig_kcbmax,1))&gt;Kcbmin_start_irrig),MIN(MAX(V44-E44*Irri_man-C44,0),Lame_max),0)</f>
        <v>0</v>
      </c>
      <c r="Y44" s="99">
        <f ca="1">MIN(MAX(T44-C44-IF(fw&gt;0,X44/fw*Irri_auto+E44/fw*Irri_man,0),0),TEW)</f>
        <v>6.01819639727932</v>
      </c>
      <c r="Z44" s="99">
        <f ca="1">MIN(MAX(U44-C44,0),TEW)</f>
        <v>2.08128948192343</v>
      </c>
      <c r="AA44" s="99">
        <f ca="1">MIN(MAX(V44-C44-(X44*Irri_auto+E44*Irri_man),0),R44)</f>
        <v>13.0233761652136</v>
      </c>
      <c r="AB44" s="99">
        <f ca="1">MIN(MAX(W44+MIN(V44-C44-(X44*Irri_auto+E44*Irri_man),0),0),S44)</f>
        <v>17.3614348673676</v>
      </c>
      <c r="AC44" s="99">
        <f ca="1">-MIN(W44+MIN(V44-C44-(X44*Irri_auto+E44*Irri_man),0),0)</f>
        <v>0</v>
      </c>
      <c r="AD44" s="39">
        <f ca="1">IF(((R44-AA44)/P44-((Wfc-Wwp)*Ze-Y44)/Ze)/Wfc*DiffE&lt;0,MAX(((R44-AA44)/P44-((Wfc-Wwp)*Ze-Y44)/Ze)/Wfc*DiffE,(R44*Ze-((Wfc-Wwp)*Ze-Y44-AA44)*P44)/(P44+Ze)-AA44),MIN(((R44-AA44)/P44-((Wfc-Wwp)*Ze-Y44)/Ze)/Wfc*DiffE,(R44*Ze-((Wfc-Wwp)*Ze-Y44-AA44)*P44)/(P44+Ze)-AA44))</f>
        <v>5.81646482449398e-10</v>
      </c>
      <c r="AE44" s="39">
        <f ca="1">IF(((R44-AA44)/P44-((Wfc-Wwp)*Ze-Z44)/Ze)/Wfc*DiffE&lt;0,MAX(((R44-AA44)/P44-((Wfc-Wwp)*Ze-Z44)/Ze)/Wfc*DiffE,(R44*Ze-((Wfc-Wwp)*Ze-Z44-AA44)*P44)/(P44+Ze)-AA44),MIN(((R44-AA44)/P44-((Wfc-Wwp)*Ze-Z44)/Ze)/Wfc*DiffE,(R44*Ze-((Wfc-Wwp)*Ze-Z44-AA44)*P44)/(P44+Ze)-AA44))</f>
        <v>-7.81564918246684e-8</v>
      </c>
      <c r="AF44" s="39">
        <f ca="1">IF(((S44-AB44)/Q44-(R44-AA44)/P44)/Wfc*DiffR&lt;0,MAX(((S44-AB44)/Q44-(R44-AA44)/P44)/Wfc*DiffR,(S44*P44-(R44-AA44-AB44)*Q44)/(P44+Q44)-AB44),MIN(((S44-AB44)/Q44-(R44-AA44)/P44)/Wfc*DiffR,(S44*P44-(R44-AA44-AB44)*Q44)/(P44+Q44)-AB44))</f>
        <v>-7.10613871638066e-9</v>
      </c>
      <c r="AG44" s="99">
        <f ca="1">MIN(MAX(Y44+IF(AU44&gt;0,B44*AZ44/AU44,0)+BE44-AD44,0),TEW)</f>
        <v>6.69804251748584</v>
      </c>
      <c r="AH44" s="99">
        <f ca="1">MIN(MAX(Z44+IF(AV44&gt;0,B44*BA44/AV44,0)+BF44-AE44,0),TEW)</f>
        <v>2.62860547993318</v>
      </c>
      <c r="AI44" s="99">
        <f ca="1" t="shared" si="1"/>
        <v>13.7500280104689</v>
      </c>
      <c r="AJ44" s="99">
        <f ca="1" t="shared" si="2"/>
        <v>17.3614348602615</v>
      </c>
      <c r="AK44" s="70">
        <f ca="1">IF((AU44+AV44)&gt;0,(TEW-(AG44*AU44+AH44*AV44)/(AU44+AV44))/TEW,(TEW-(AG44+AH44)/2)/TEW)</f>
        <v>0.797794942868352</v>
      </c>
      <c r="AL44" s="70">
        <f ca="1" t="shared" si="3"/>
        <v>0.610874924648592</v>
      </c>
      <c r="AM44" s="70">
        <f ca="1" t="shared" si="4"/>
        <v>0.609574091915134</v>
      </c>
      <c r="AN44" s="70">
        <f ca="1">Wwp+(Wfc-Wwp)*IF((AU44+AV44)&gt;0,(TEW-(AG44*AU44+AH44*AV44)/(AU44+AV44))/TEW,(TEW-(AG44+AH44)/2)/TEW)</f>
        <v>0.373713342572886</v>
      </c>
      <c r="AO44" s="70">
        <f ca="1">Wwp+(Wfc-Wwp)*(R44-AI44)/R44</f>
        <v>0.349413740204317</v>
      </c>
      <c r="AP44" s="70">
        <f ca="1">Wwp+(Wfc-Wwp)*(S44-AJ44)/S44</f>
        <v>0.349244631948967</v>
      </c>
      <c r="AQ44" s="70"/>
      <c r="AR44" s="70"/>
      <c r="AS44" s="70"/>
      <c r="AT44" s="70"/>
      <c r="AU44" s="70">
        <f ca="1">MIN((1-G44),fw)</f>
        <v>0.688</v>
      </c>
      <c r="AV44" s="70">
        <f ca="1" t="shared" si="5"/>
        <v>0</v>
      </c>
      <c r="AW44" s="70">
        <f ca="1">MIN((TEW-Y44)/(TEW-REW),1)</f>
        <v>0.104154118365249</v>
      </c>
      <c r="AX44" s="70">
        <f ca="1">MIN((TEW-Z44)/(TEW-REW),1)</f>
        <v>0.119281134994158</v>
      </c>
      <c r="AY44" s="70">
        <f ca="1">IF((AU44*(TEW-Y44))&gt;0,1/(1+((AV44*(TEW-Z44))/(AU44*(TEW-Y44)))),0)</f>
        <v>1</v>
      </c>
      <c r="AZ44" s="70">
        <f ca="1">MIN((AY44*AW44*(Kcmax-H44)),AU44*Kcmax)</f>
        <v>0.083144577914948</v>
      </c>
      <c r="BA44" s="70">
        <f ca="1">MIN(((1-AY44)*AX44*(Kcmax-H44)),AV44*Kcmax)</f>
        <v>0</v>
      </c>
      <c r="BB44" s="70">
        <f ca="1" t="shared" si="6"/>
        <v>0.138934589695878</v>
      </c>
      <c r="BC44" s="70">
        <f ca="1">MIN((R44-AA44)/(R44*(1-(p+0.04*(5-I43)))),1)</f>
        <v>1</v>
      </c>
      <c r="BD44" s="10">
        <f ca="1" t="shared" si="7"/>
        <v>0.587717248453288</v>
      </c>
      <c r="BE44" s="70">
        <f ca="1">MIN(IF((1-AA44/R44)&gt;0,(1-Y44/TEW)/(1-AA44/R44)*(Ze/P44)^0.6,0),1)*BC44*H44*B44</f>
        <v>0.4779063101837</v>
      </c>
      <c r="BF44" s="70">
        <f ca="1">MIN(IF((1-AA44/R44)&gt;0,(1-Z44/TEW)/(1-AA44/R44)*(Ze/P44)^0.6,0),1)*BC44*H44*B44</f>
        <v>0.547315919853266</v>
      </c>
      <c r="BG44"/>
      <c r="BH44" s="10" t="str">
        <f ca="1" t="shared" si="8"/>
        <v/>
      </c>
      <c r="BI44" s="10" t="str">
        <f ca="1">IF(F44&lt;&gt;"",(Moy_Etobs-F44)^2,"")</f>
        <v/>
      </c>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c r="A45" s="38">
        <v>39038</v>
      </c>
      <c r="B45" s="10">
        <v>0.756</v>
      </c>
      <c r="C45" s="39">
        <v>2.178</v>
      </c>
      <c r="D45">
        <v>0.395</v>
      </c>
      <c r="E45" s="39">
        <v>0</v>
      </c>
      <c r="F45"/>
      <c r="G45" s="10">
        <f ca="1">MIN(MAX(IF(AND(Durpla&gt;ROW()-MATCH(NDVImax,INDEX(D:D,Lig_min,1):INDEX(D:D,Lig_max,1),0)-Lig_min+1,ROW()-MATCH(NDVImax,INDEX(D:D,Lig_min,1):INDEX(D:D,Lig_max,1),0)-Lig_min+1&gt;0,D45*a_fc+b_fc&gt;fc_fin),NDVImax*a_fc+b_fc,D45*a_fc+b_fc),0),1)</f>
        <v>0.326666666666667</v>
      </c>
      <c r="H45" s="55">
        <f>MIN(MAX(D45*a_kcb+b_kcb,0),Kcmax)</f>
        <v>0.368249540607384</v>
      </c>
      <c r="I45" s="70">
        <f ca="1" t="shared" si="0"/>
        <v>0.343354165131602</v>
      </c>
      <c r="J45"/>
      <c r="K45"/>
      <c r="L45"/>
      <c r="M45"/>
      <c r="N45"/>
      <c r="O45" s="55"/>
      <c r="P45" s="35">
        <f ca="1">IF(ROW()-MATCH(NDVImax,INDEX(D:D,Lig_min,1):INDEX(D:D,Lig_max,1),0)-Lig_min+1&gt;0,MAX(MIN(Zr_min+MAX(INDEX(G:G,Lig_min,1):INDEX(G:G,Lig_max,1))/MAX(MAX(INDEX(G:G,Lig_min,1):INDEX(G:G,Lig_max,1)),Max_fc_pour_Zrmax)*(Zr_max-Zr_min),Zr_max),Ze+0.001),MAX(MIN(Zr_min+G45/MAX(MAX(INDEX(G:G,Lig_min,1):INDEX(G:G,Lig_max,1)),Max_fc_pour_Zrmax)*(Zr_max-Zr_min),Zr_max),Ze+0.001))</f>
        <v>278.71498276538</v>
      </c>
      <c r="Q45" s="35">
        <f ca="1">IF(Z_sol&gt;0,Z_sol-P45,0.1)</f>
        <v>335.159568299054</v>
      </c>
      <c r="R45" s="35">
        <f ca="1">(Wfc-Wwp)*P45</f>
        <v>36.2329477594995</v>
      </c>
      <c r="S45" s="35">
        <f ca="1">(Wfc-Wwp)*Q45</f>
        <v>43.570743878877</v>
      </c>
      <c r="T45" s="99">
        <f ca="1" t="shared" si="9"/>
        <v>6.69804251748584</v>
      </c>
      <c r="U45" s="99">
        <f ca="1" t="shared" si="10"/>
        <v>2.62860547993318</v>
      </c>
      <c r="V45" s="99">
        <f ca="1">IF(P45&gt;P44,IF(Q45&gt;1,MAX(AI44+(Wfc-Wwp)*(P45-P44)*AJ44/S44,0),AI44/P44*P45),MAX(AI44+(Wfc-Wwp)*(P45-P44)*AI44/R44,0))</f>
        <v>14.1003156258867</v>
      </c>
      <c r="W45" s="99">
        <f ca="1">IF(S45&gt;1,IF(P45&gt;P44,MAX(AJ44-(Wfc-Wwp)*(P45-P44)*AJ44/S44,0),MAX(AJ44-(Wfc-Wwp)*(P45-P44)*AI44/R44,0)),0)</f>
        <v>17.0111472448437</v>
      </c>
      <c r="X45" s="99">
        <f ca="1">IF(AND(OR(AND(dec_vide_TAW&lt;0,V45&gt;R45*(p+0.04*(5-I44))),AND(dec_vide_TAW&gt;0,V45&gt;R45*dec_vide_TAW)),H45&gt;MAX(INDEX(H:H,Lig_min,1):INDEX(H:H,ROW(X45),1))*Kcbmax_stop_irrig*IF(ROW(X45)-lig_kcbmax&gt;0,1,0),MIN(INDEX(H:H,ROW(X45),1):INDEX(H:H,lig_kcbmax,1))&gt;Kcbmin_start_irrig),MIN(MAX(V45-E45*Irri_man-C45,0),Lame_max),0)</f>
        <v>0</v>
      </c>
      <c r="Y45" s="99">
        <f ca="1">MIN(MAX(T45-C45-IF(fw&gt;0,X45/fw*Irri_auto+E45/fw*Irri_man,0),0),TEW)</f>
        <v>4.52004251748584</v>
      </c>
      <c r="Z45" s="99">
        <f ca="1">MIN(MAX(U45-C45,0),TEW)</f>
        <v>0.450605479933184</v>
      </c>
      <c r="AA45" s="99">
        <f ca="1">MIN(MAX(V45-C45-(X45*Irri_auto+E45*Irri_man),0),R45)</f>
        <v>11.9223156258867</v>
      </c>
      <c r="AB45" s="99">
        <f ca="1">MIN(MAX(W45+MIN(V45-C45-(X45*Irri_auto+E45*Irri_man),0),0),S45)</f>
        <v>17.0111472448437</v>
      </c>
      <c r="AC45" s="99">
        <f ca="1">-MIN(W45+MIN(V45-C45-(X45*Irri_auto+E45*Irri_man),0),0)</f>
        <v>0</v>
      </c>
      <c r="AD45" s="39">
        <f ca="1">IF(((R45-AA45)/P45-((Wfc-Wwp)*Ze-Y45)/Ze)/Wfc*DiffE&lt;0,MAX(((R45-AA45)/P45-((Wfc-Wwp)*Ze-Y45)/Ze)/Wfc*DiffE,(R45*Ze-((Wfc-Wwp)*Ze-Y45-AA45)*P45)/(P45+Ze)-AA45),MIN(((R45-AA45)/P45-((Wfc-Wwp)*Ze-Y45)/Ze)/Wfc*DiffE,(R45*Ze-((Wfc-Wwp)*Ze-Y45-AA45)*P45)/(P45+Ze)-AA45))</f>
        <v>-1.65391812516949e-8</v>
      </c>
      <c r="AE45" s="39">
        <f ca="1">IF(((R45-AA45)/P45-((Wfc-Wwp)*Ze-Z45)/Ze)/Wfc*DiffE&lt;0,MAX(((R45-AA45)/P45-((Wfc-Wwp)*Ze-Z45)/Ze)/Wfc*DiffE,(R45*Ze-((Wfc-Wwp)*Ze-Z45-AA45)*P45)/(P45+Ze)-AA45),MIN(((R45-AA45)/P45-((Wfc-Wwp)*Ze-Z45)/Ze)/Wfc*DiffE,(R45*Ze-((Wfc-Wwp)*Ze-Z45-AA45)*P45)/(P45+Ze)-AA45))</f>
        <v>-9.79279220027481e-8</v>
      </c>
      <c r="AF45" s="39">
        <f ca="1">IF(((S45-AB45)/Q45-(R45-AA45)/P45)/Wfc*DiffR&lt;0,MAX(((S45-AB45)/Q45-(R45-AA45)/P45)/Wfc*DiffR,(S45*P45-(R45-AA45-AB45)*Q45)/(P45+Q45)-AB45),MIN(((S45-AB45)/Q45-(R45-AA45)/P45)/Wfc*DiffR,(S45*P45-(R45-AA45-AB45)*Q45)/(P45+Q45)-AB45))</f>
        <v>-1.99483885261697e-8</v>
      </c>
      <c r="AG45" s="99">
        <f ca="1">MIN(MAX(Y45+IF(AU45&gt;0,B45*AZ45/AU45,0)+BE45-AD45,0),TEW)</f>
        <v>4.83797988407965</v>
      </c>
      <c r="AH45" s="99">
        <f ca="1">MIN(MAX(Z45+IF(AV45&gt;0,B45*BA45/AV45,0)+BF45-AE45,0),TEW)</f>
        <v>0.703577840667285</v>
      </c>
      <c r="AI45" s="99">
        <f ca="1" t="shared" si="1"/>
        <v>12.2656698109667</v>
      </c>
      <c r="AJ45" s="99">
        <f ca="1" t="shared" si="2"/>
        <v>17.0111472248953</v>
      </c>
      <c r="AK45" s="70">
        <f ca="1">IF((AU45+AV45)&gt;0,(TEW-(AG45*AU45+AH45*AV45)/(AU45+AV45))/TEW,(TEW-(AG45+AH45)/2)/TEW)</f>
        <v>0.853947777084388</v>
      </c>
      <c r="AL45" s="70">
        <f ca="1" t="shared" si="3"/>
        <v>0.661477451617198</v>
      </c>
      <c r="AM45" s="70">
        <f ca="1" t="shared" si="4"/>
        <v>0.609574092372973</v>
      </c>
      <c r="AN45" s="70">
        <f ca="1">Wwp+(Wfc-Wwp)*IF((AU45+AV45)&gt;0,(TEW-(AG45*AU45+AH45*AV45)/(AU45+AV45))/TEW,(TEW-(AG45+AH45)/2)/TEW)</f>
        <v>0.38101321102097</v>
      </c>
      <c r="AO45" s="70">
        <f ca="1">Wwp+(Wfc-Wwp)*(R45-AI45)/R45</f>
        <v>0.355992068710236</v>
      </c>
      <c r="AP45" s="70">
        <f ca="1">Wwp+(Wfc-Wwp)*(S45-AJ45)/S45</f>
        <v>0.349244632008487</v>
      </c>
      <c r="AQ45" s="70"/>
      <c r="AR45" s="70"/>
      <c r="AS45" s="70"/>
      <c r="AT45" s="70"/>
      <c r="AU45" s="70">
        <f ca="1">MIN((1-G45),fw)</f>
        <v>0.673333333333333</v>
      </c>
      <c r="AV45" s="70">
        <f ca="1" t="shared" si="5"/>
        <v>0</v>
      </c>
      <c r="AW45" s="70">
        <f ca="1">MIN((TEW-Y45)/(TEW-REW),1)</f>
        <v>0.109910566038397</v>
      </c>
      <c r="AX45" s="70">
        <f ca="1">MIN((TEW-Z45)/(TEW-REW),1)</f>
        <v>0.125546811207733</v>
      </c>
      <c r="AY45" s="70">
        <f ca="1">IF((AU45*(TEW-Y45))&gt;0,1/(1+((AV45*(TEW-Z45))/(AU45*(TEW-Y45)))),0)</f>
        <v>1</v>
      </c>
      <c r="AZ45" s="70">
        <f ca="1">MIN((AY45*AW45*(Kcmax-H45)),AU45*Kcmax)</f>
        <v>0.0859226354926192</v>
      </c>
      <c r="BA45" s="70">
        <f ca="1">MIN(((1-AY45)*AX45*(Kcmax-H45)),AV45*Kcmax)</f>
        <v>0</v>
      </c>
      <c r="BB45" s="70">
        <f ca="1" t="shared" si="6"/>
        <v>0.0649575124324202</v>
      </c>
      <c r="BC45" s="70">
        <f ca="1">MIN((R45-AA45)/(R45*(1-(p+0.04*(5-I44)))),1)</f>
        <v>1</v>
      </c>
      <c r="BD45" s="10">
        <f ca="1" t="shared" si="7"/>
        <v>0.278396652699182</v>
      </c>
      <c r="BE45" s="70">
        <f ca="1">MIN(IF((1-AA45/R45)&gt;0,(1-Y45/TEW)/(1-AA45/R45)*(Ze/P45)^0.6,0),1)*BC45*H45*B45</f>
        <v>0.221465796937172</v>
      </c>
      <c r="BF45" s="70">
        <f ca="1">MIN(IF((1-AA45/R45)&gt;0,(1-Z45/TEW)/(1-AA45/R45)*(Ze/P45)^0.6,0),1)*BC45*H45*B45</f>
        <v>0.25297226280618</v>
      </c>
      <c r="BG45"/>
      <c r="BH45" s="10" t="str">
        <f ca="1" t="shared" si="8"/>
        <v/>
      </c>
      <c r="BI45" s="10" t="str">
        <f ca="1">IF(F45&lt;&gt;"",(Moy_Etobs-F45)^2,"")</f>
        <v/>
      </c>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c r="A46" s="38">
        <v>39039</v>
      </c>
      <c r="B46" s="10">
        <v>0.792</v>
      </c>
      <c r="C46" s="39">
        <v>0.198</v>
      </c>
      <c r="D46">
        <v>0.406</v>
      </c>
      <c r="E46" s="39">
        <v>0</v>
      </c>
      <c r="F46" s="10">
        <v>0.8392716</v>
      </c>
      <c r="G46" s="10">
        <f ca="1">MIN(MAX(IF(AND(Durpla&gt;ROW()-MATCH(NDVImax,INDEX(D:D,Lig_min,1):INDEX(D:D,Lig_max,1),0)-Lig_min+1,ROW()-MATCH(NDVImax,INDEX(D:D,Lig_min,1):INDEX(D:D,Lig_max,1),0)-Lig_min+1&gt;0,D46*a_fc+b_fc&gt;fc_fin),NDVImax*a_fc+b_fc,D46*a_fc+b_fc),0),1)</f>
        <v>0.341333333333333</v>
      </c>
      <c r="H46" s="55">
        <f>MIN(MAX(D46*a_kcb+b_kcb,0),Kcmax)</f>
        <v>0.384783193450981</v>
      </c>
      <c r="I46" s="70">
        <f ca="1" t="shared" si="0"/>
        <v>0.37108048132968</v>
      </c>
      <c r="J46"/>
      <c r="K46"/>
      <c r="L46"/>
      <c r="M46"/>
      <c r="N46"/>
      <c r="O46" s="55"/>
      <c r="P46" s="35">
        <f ca="1">IF(ROW()-MATCH(NDVImax,INDEX(D:D,Lig_min,1):INDEX(D:D,Lig_max,1),0)-Lig_min+1&gt;0,MAX(MIN(Zr_min+MAX(INDEX(G:G,Lig_min,1):INDEX(G:G,Lig_max,1))/MAX(MAX(INDEX(G:G,Lig_min,1):INDEX(G:G,Lig_max,1)),Max_fc_pour_Zrmax)*(Zr_max-Zr_min),Zr_max),Ze+0.001),MAX(MIN(Zr_min+G46/MAX(MAX(INDEX(G:G,Lig_min,1):INDEX(G:G,Lig_max,1)),Max_fc_pour_Zrmax)*(Zr_max-Zr_min),Zr_max),Ze+0.001))</f>
        <v>285.6164717875</v>
      </c>
      <c r="Q46" s="35">
        <f ca="1">IF(Z_sol&gt;0,Z_sol-P46,0.1)</f>
        <v>328.258079276934</v>
      </c>
      <c r="R46" s="35">
        <f ca="1">(Wfc-Wwp)*P46</f>
        <v>37.1301413323749</v>
      </c>
      <c r="S46" s="35">
        <f ca="1">(Wfc-Wwp)*Q46</f>
        <v>42.6735503060015</v>
      </c>
      <c r="T46" s="99">
        <f ca="1" t="shared" si="9"/>
        <v>4.83797988407965</v>
      </c>
      <c r="U46" s="99">
        <f ca="1" t="shared" si="10"/>
        <v>0.703577840667285</v>
      </c>
      <c r="V46" s="99">
        <f ca="1">IF(P46&gt;P45,IF(Q46&gt;1,MAX(AI45+(Wfc-Wwp)*(P46-P45)*AJ45/S45,0),AI45/P45*P46),MAX(AI45+(Wfc-Wwp)*(P46-P45)*AI45/R45,0))</f>
        <v>12.6159574259737</v>
      </c>
      <c r="W46" s="99">
        <f ca="1">IF(S46&gt;1,IF(P46&gt;P45,MAX(AJ45-(Wfc-Wwp)*(P46-P45)*AJ45/S45,0),MAX(AJ45-(Wfc-Wwp)*(P46-P45)*AI45/R45,0)),0)</f>
        <v>16.6608596098882</v>
      </c>
      <c r="X46" s="99">
        <f ca="1">IF(AND(OR(AND(dec_vide_TAW&lt;0,V46&gt;R46*(p+0.04*(5-I45))),AND(dec_vide_TAW&gt;0,V46&gt;R46*dec_vide_TAW)),H46&gt;MAX(INDEX(H:H,Lig_min,1):INDEX(H:H,ROW(X46),1))*Kcbmax_stop_irrig*IF(ROW(X46)-lig_kcbmax&gt;0,1,0),MIN(INDEX(H:H,ROW(X46),1):INDEX(H:H,lig_kcbmax,1))&gt;Kcbmin_start_irrig),MIN(MAX(V46-E46*Irri_man-C46,0),Lame_max),0)</f>
        <v>0</v>
      </c>
      <c r="Y46" s="99">
        <f ca="1">MIN(MAX(T46-C46-IF(fw&gt;0,X46/fw*Irri_auto+E46/fw*Irri_man,0),0),TEW)</f>
        <v>4.63997988407965</v>
      </c>
      <c r="Z46" s="99">
        <f ca="1">MIN(MAX(U46-C46,0),TEW)</f>
        <v>0.505577840667285</v>
      </c>
      <c r="AA46" s="99">
        <f ca="1">MIN(MAX(V46-C46-(X46*Irri_auto+E46*Irri_man),0),R46)</f>
        <v>12.4179574259737</v>
      </c>
      <c r="AB46" s="99">
        <f ca="1">MIN(MAX(W46+MIN(V46-C46-(X46*Irri_auto+E46*Irri_man),0),0),S46)</f>
        <v>16.6608596098882</v>
      </c>
      <c r="AC46" s="99">
        <f ca="1">-MIN(W46+MIN(V46-C46-(X46*Irri_auto+E46*Irri_man),0),0)</f>
        <v>0</v>
      </c>
      <c r="AD46" s="39">
        <f ca="1">IF(((R46-AA46)/P46-((Wfc-Wwp)*Ze-Y46)/Ze)/Wfc*DiffE&lt;0,MAX(((R46-AA46)/P46-((Wfc-Wwp)*Ze-Y46)/Ze)/Wfc*DiffE,(R46*Ze-((Wfc-Wwp)*Ze-Y46-AA46)*P46)/(P46+Ze)-AA46),MIN(((R46-AA46)/P46-((Wfc-Wwp)*Ze-Y46)/Ze)/Wfc*DiffE,(R46*Ze-((Wfc-Wwp)*Ze-Y46-AA46)*P46)/(P46+Ze)-AA46))</f>
        <v>-1.58947411660345e-8</v>
      </c>
      <c r="AE46" s="39">
        <f ca="1">IF(((R46-AA46)/P46-((Wfc-Wwp)*Ze-Z46)/Ze)/Wfc*DiffE&lt;0,MAX(((R46-AA46)/P46-((Wfc-Wwp)*Ze-Z46)/Ze)/Wfc*DiffE,(R46*Ze-((Wfc-Wwp)*Ze-Z46-AA46)*P46)/(P46+Ze)-AA46),MIN(((R46-AA46)/P46-((Wfc-Wwp)*Ze-Z46)/Ze)/Wfc*DiffE,(R46*Ze-((Wfc-Wwp)*Ze-Z46-AA46)*P46)/(P46+Ze)-AA46))</f>
        <v>-9.85827820342817e-8</v>
      </c>
      <c r="AF46" s="39">
        <f ca="1">IF(((S46-AB46)/Q46-(R46-AA46)/P46)/Wfc*DiffR&lt;0,MAX(((S46-AB46)/Q46-(R46-AA46)/P46)/Wfc*DiffR,(S46*P46-(R46-AA46-AB46)*Q46)/(P46+Q46)-AB46),MIN(((S46-AB46)/Q46-(R46-AA46)/P46)/Wfc*DiffR,(S46*P46-(R46-AA46-AB46)*Q46)/(P46+Q46)-AB46))</f>
        <v>-1.81940811311563e-8</v>
      </c>
      <c r="AG46" s="99">
        <f ca="1">MIN(MAX(Y46+IF(AU46&gt;0,B46*AZ46/AU46,0)+BE46-AD46,0),TEW)</f>
        <v>4.98051111688632</v>
      </c>
      <c r="AH46" s="99">
        <f ca="1">MIN(MAX(Z46+IF(AV46&gt;0,B46*BA46/AV46,0)+BF46-AE46,0),TEW)</f>
        <v>0.780211233010625</v>
      </c>
      <c r="AI46" s="99">
        <f ca="1" t="shared" si="1"/>
        <v>12.7890379254975</v>
      </c>
      <c r="AJ46" s="99">
        <f ca="1" t="shared" si="2"/>
        <v>16.6608595916941</v>
      </c>
      <c r="AK46" s="70">
        <f ca="1">IF((AU46+AV46)&gt;0,(TEW-(AG46*AU46+AH46*AV46)/(AU46+AV46))/TEW,(TEW-(AG46+AH46)/2)/TEW)</f>
        <v>0.849644947414752</v>
      </c>
      <c r="AL46" s="70">
        <f ca="1" t="shared" si="3"/>
        <v>0.655561830184947</v>
      </c>
      <c r="AM46" s="70">
        <f ca="1" t="shared" si="4"/>
        <v>0.609574092799328</v>
      </c>
      <c r="AN46" s="70">
        <f ca="1">Wwp+(Wfc-Wwp)*IF((AU46+AV46)&gt;0,(TEW-(AG46*AU46+AH46*AV46)/(AU46+AV46))/TEW,(TEW-(AG46+AH46)/2)/TEW)</f>
        <v>0.380453843163918</v>
      </c>
      <c r="AO46" s="70">
        <f ca="1">Wwp+(Wfc-Wwp)*(R46-AI46)/R46</f>
        <v>0.355223037924043</v>
      </c>
      <c r="AP46" s="70">
        <f ca="1">Wwp+(Wfc-Wwp)*(S46-AJ46)/S46</f>
        <v>0.349244632063913</v>
      </c>
      <c r="AQ46" s="70"/>
      <c r="AR46" s="70"/>
      <c r="AS46" s="70"/>
      <c r="AT46" s="70"/>
      <c r="AU46" s="70">
        <f ca="1">MIN((1-G46),fw)</f>
        <v>0.658666666666667</v>
      </c>
      <c r="AV46" s="70">
        <f ca="1" t="shared" si="5"/>
        <v>0</v>
      </c>
      <c r="AW46" s="70">
        <f ca="1">MIN((TEW-Y46)/(TEW-REW),1)</f>
        <v>0.1094497234079</v>
      </c>
      <c r="AX46" s="70">
        <f ca="1">MIN((TEW-Z46)/(TEW-REW),1)</f>
        <v>0.125335587566221</v>
      </c>
      <c r="AY46" s="70">
        <f ca="1">IF((AU46*(TEW-Y46))&gt;0,1/(1+((AV46*(TEW-Z46))/(AU46*(TEW-Y46)))),0)</f>
        <v>1</v>
      </c>
      <c r="AZ46" s="70">
        <f ca="1">MIN((AY46*AW46*(Kcmax-H46)),AU46*Kcmax)</f>
        <v>0.083752767823867</v>
      </c>
      <c r="BA46" s="70">
        <f ca="1">MIN(((1-AY46)*AX46*(Kcmax-H46)),AV46*Kcmax)</f>
        <v>0</v>
      </c>
      <c r="BB46" s="70">
        <f ca="1" t="shared" si="6"/>
        <v>0.0663321921165027</v>
      </c>
      <c r="BC46" s="70">
        <f ca="1">MIN((R46-AA46)/(R46*(1-(p+0.04*(5-I45)))),1)</f>
        <v>1</v>
      </c>
      <c r="BD46" s="10">
        <f ca="1" t="shared" si="7"/>
        <v>0.304748289213177</v>
      </c>
      <c r="BE46" s="70">
        <f ca="1">MIN(IF((1-AA46/R46)&gt;0,(1-Y46/TEW)/(1-AA46/R46)*(Ze/P46)^0.6,0),1)*BC46*H46*B46</f>
        <v>0.239824447504283</v>
      </c>
      <c r="BF46" s="70">
        <f ca="1">MIN(IF((1-AA46/R46)&gt;0,(1-Z46/TEW)/(1-AA46/R46)*(Ze/P46)^0.6,0),1)*BC46*H46*B46</f>
        <v>0.274633293760557</v>
      </c>
      <c r="BG46"/>
      <c r="BH46" s="10">
        <f ca="1" t="shared" si="8"/>
        <v>0.219202923601766</v>
      </c>
      <c r="BI46" s="10">
        <f ca="1">IF(F46&lt;&gt;"",(Moy_Etobs-F46)^2,"")</f>
        <v>0.592285657031082</v>
      </c>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c r="A47" s="38">
        <v>39040</v>
      </c>
      <c r="B47" s="10">
        <v>0.728</v>
      </c>
      <c r="C47" s="39">
        <v>2.772</v>
      </c>
      <c r="D47">
        <v>0.418</v>
      </c>
      <c r="E47" s="39">
        <v>0</v>
      </c>
      <c r="F47" s="10">
        <v>0.5585976</v>
      </c>
      <c r="G47" s="10">
        <f ca="1">MIN(MAX(IF(AND(Durpla&gt;ROW()-MATCH(NDVImax,INDEX(D:D,Lig_min,1):INDEX(D:D,Lig_max,1),0)-Lig_min+1,ROW()-MATCH(NDVImax,INDEX(D:D,Lig_min,1):INDEX(D:D,Lig_max,1),0)-Lig_min+1&gt;0,D47*a_fc+b_fc&gt;fc_fin),NDVImax*a_fc+b_fc,D47*a_fc+b_fc),0),1)</f>
        <v>0.357333333333333</v>
      </c>
      <c r="H47" s="55">
        <f>MIN(MAX(D47*a_kcb+b_kcb,0),Kcmax)</f>
        <v>0.402819905643995</v>
      </c>
      <c r="I47" s="70">
        <f ca="1" t="shared" si="0"/>
        <v>0.357869621374165</v>
      </c>
      <c r="J47"/>
      <c r="K47"/>
      <c r="L47"/>
      <c r="M47"/>
      <c r="N47"/>
      <c r="O47" s="55"/>
      <c r="P47" s="35">
        <f ca="1">IF(ROW()-MATCH(NDVImax,INDEX(D:D,Lig_min,1):INDEX(D:D,Lig_max,1),0)-Lig_min+1&gt;0,MAX(MIN(Zr_min+MAX(INDEX(G:G,Lig_min,1):INDEX(G:G,Lig_max,1))/MAX(MAX(INDEX(G:G,Lig_min,1):INDEX(G:G,Lig_max,1)),Max_fc_pour_Zrmax)*(Zr_max-Zr_min),Zr_max),Ze+0.001),MAX(MIN(Zr_min+G47/MAX(MAX(INDEX(G:G,Lig_min,1):INDEX(G:G,Lig_max,1)),Max_fc_pour_Zrmax)*(Zr_max-Zr_min),Zr_max),Ze+0.001))</f>
        <v>293.145368902539</v>
      </c>
      <c r="Q47" s="35">
        <f ca="1">IF(Z_sol&gt;0,Z_sol-P47,0.1)</f>
        <v>320.729182161895</v>
      </c>
      <c r="R47" s="35">
        <f ca="1">(Wfc-Wwp)*P47</f>
        <v>38.10889795733</v>
      </c>
      <c r="S47" s="35">
        <f ca="1">(Wfc-Wwp)*Q47</f>
        <v>41.6947936810464</v>
      </c>
      <c r="T47" s="99">
        <f ca="1" t="shared" si="9"/>
        <v>4.98051111688632</v>
      </c>
      <c r="U47" s="99">
        <f ca="1" t="shared" si="10"/>
        <v>0.780211233010625</v>
      </c>
      <c r="V47" s="99">
        <f ca="1">IF(P47&gt;P46,IF(Q47&gt;1,MAX(AI46+(Wfc-Wwp)*(P47-P46)*AJ46/S46,0),AI46/P46*P47),MAX(AI46+(Wfc-Wwp)*(P47-P46)*AI46/R46,0))</f>
        <v>13.1711698687242</v>
      </c>
      <c r="W47" s="99">
        <f ca="1">IF(S47&gt;1,IF(P47&gt;P46,MAX(AJ46-(Wfc-Wwp)*(P47-P46)*AJ46/S46,0),MAX(AJ46-(Wfc-Wwp)*(P47-P46)*AI46/R46,0)),0)</f>
        <v>16.2787276484674</v>
      </c>
      <c r="X47" s="99">
        <f ca="1">IF(AND(OR(AND(dec_vide_TAW&lt;0,V47&gt;R47*(p+0.04*(5-I46))),AND(dec_vide_TAW&gt;0,V47&gt;R47*dec_vide_TAW)),H47&gt;MAX(INDEX(H:H,Lig_min,1):INDEX(H:H,ROW(X47),1))*Kcbmax_stop_irrig*IF(ROW(X47)-lig_kcbmax&gt;0,1,0),MIN(INDEX(H:H,ROW(X47),1):INDEX(H:H,lig_kcbmax,1))&gt;Kcbmin_start_irrig),MIN(MAX(V47-E47*Irri_man-C47,0),Lame_max),0)</f>
        <v>0</v>
      </c>
      <c r="Y47" s="99">
        <f ca="1">MIN(MAX(T47-C47-IF(fw&gt;0,X47/fw*Irri_auto+E47/fw*Irri_man,0),0),TEW)</f>
        <v>2.20851111688632</v>
      </c>
      <c r="Z47" s="99">
        <f ca="1">MIN(MAX(U47-C47,0),TEW)</f>
        <v>0</v>
      </c>
      <c r="AA47" s="99">
        <f ca="1">MIN(MAX(V47-C47-(X47*Irri_auto+E47*Irri_man),0),R47)</f>
        <v>10.3991698687242</v>
      </c>
      <c r="AB47" s="99">
        <f ca="1">MIN(MAX(W47+MIN(V47-C47-(X47*Irri_auto+E47*Irri_man),0),0),S47)</f>
        <v>16.2787276484674</v>
      </c>
      <c r="AC47" s="99">
        <f ca="1">-MIN(W47+MIN(V47-C47-(X47*Irri_auto+E47*Irri_man),0),0)</f>
        <v>0</v>
      </c>
      <c r="AD47" s="39">
        <f ca="1">IF(((R47-AA47)/P47-((Wfc-Wwp)*Ze-Y47)/Ze)/Wfc*DiffE&lt;0,MAX(((R47-AA47)/P47-((Wfc-Wwp)*Ze-Y47)/Ze)/Wfc*DiffE,(R47*Ze-((Wfc-Wwp)*Ze-Y47-AA47)*P47)/(P47+Ze)-AA47),MIN(((R47-AA47)/P47-((Wfc-Wwp)*Ze-Y47)/Ze)/Wfc*DiffE,(R47*Ze-((Wfc-Wwp)*Ze-Y47-AA47)*P47)/(P47+Ze)-AA47))</f>
        <v>-4.45158953012462e-8</v>
      </c>
      <c r="AE47" s="39">
        <f ca="1">IF(((R47-AA47)/P47-((Wfc-Wwp)*Ze-Z47)/Ze)/Wfc*DiffE&lt;0,MAX(((R47-AA47)/P47-((Wfc-Wwp)*Ze-Z47)/Ze)/Wfc*DiffE,(R47*Ze-((Wfc-Wwp)*Ze-Z47-AA47)*P47)/(P47+Ze)-AA47),MIN(((R47-AA47)/P47-((Wfc-Wwp)*Ze-Z47)/Ze)/Wfc*DiffE,(R47*Ze-((Wfc-Wwp)*Ze-Z47-AA47)*P47)/(P47+Ze)-AA47))</f>
        <v>-8.86861176389727e-8</v>
      </c>
      <c r="AF47" s="39">
        <f ca="1">IF(((S47-AB47)/Q47-(R47-AA47)/P47)/Wfc*DiffR&lt;0,MAX(((S47-AB47)/Q47-(R47-AA47)/P47)/Wfc*DiffR,(S47*P47-(R47-AA47-AB47)*Q47)/(P47+Q47)-AB47),MIN(((S47-AB47)/Q47-(R47-AA47)/P47)/Wfc*DiffR,(S47*P47-(R47-AA47-AB47)*Q47)/(P47+Q47)-AB47))</f>
        <v>-3.82023022012457e-8</v>
      </c>
      <c r="AG47" s="99">
        <f ca="1">MIN(MAX(Y47+IF(AU47&gt;0,B47*AZ47/AU47,0)+BE47-AD47,0),TEW)</f>
        <v>2.53477422940073</v>
      </c>
      <c r="AH47" s="99">
        <f ca="1">MIN(MAX(Z47+IF(AV47&gt;0,B47*BA47/AV47,0)+BF47-AE47,0),TEW)</f>
        <v>0.241842583172818</v>
      </c>
      <c r="AI47" s="99">
        <f ca="1" t="shared" si="1"/>
        <v>10.7570395283007</v>
      </c>
      <c r="AJ47" s="99">
        <f ca="1" t="shared" si="2"/>
        <v>16.2787276102651</v>
      </c>
      <c r="AK47" s="70">
        <f ca="1">IF((AU47+AV47)&gt;0,(TEW-(AG47*AU47+AH47*AV47)/(AU47+AV47))/TEW,(TEW-(AG47+AH47)/2)/TEW)</f>
        <v>0.923478513829412</v>
      </c>
      <c r="AL47" s="70">
        <f ca="1" t="shared" si="3"/>
        <v>0.717728926710366</v>
      </c>
      <c r="AM47" s="70">
        <f ca="1" t="shared" si="4"/>
        <v>0.609574093715565</v>
      </c>
      <c r="AN47" s="70">
        <f ca="1">Wwp+(Wfc-Wwp)*IF((AU47+AV47)&gt;0,(TEW-(AG47*AU47+AH47*AV47)/(AU47+AV47))/TEW,(TEW-(AG47+AH47)/2)/TEW)</f>
        <v>0.390052206797824</v>
      </c>
      <c r="AO47" s="70">
        <f ca="1">Wwp+(Wfc-Wwp)*(R47-AI47)/R47</f>
        <v>0.363304760472348</v>
      </c>
      <c r="AP47" s="70">
        <f ca="1">Wwp+(Wfc-Wwp)*(S47-AJ47)/S47</f>
        <v>0.349244632183023</v>
      </c>
      <c r="AQ47" s="70"/>
      <c r="AR47" s="70"/>
      <c r="AS47" s="70"/>
      <c r="AT47" s="70"/>
      <c r="AU47" s="70">
        <f ca="1">MIN((1-G47),fw)</f>
        <v>0.642666666666667</v>
      </c>
      <c r="AV47" s="70">
        <f ca="1" t="shared" si="5"/>
        <v>0</v>
      </c>
      <c r="AW47" s="70">
        <f ca="1">MIN((TEW-Y47)/(TEW-REW),1)</f>
        <v>0.118792303576749</v>
      </c>
      <c r="AX47" s="70">
        <f ca="1">MIN((TEW-Z47)/(TEW-REW),1)</f>
        <v>0.12727820001996</v>
      </c>
      <c r="AY47" s="70">
        <f ca="1">IF((AU47*(TEW-Y47))&gt;0,1/(1+((AV47*(TEW-Z47))/(AU47*(TEW-Y47)))),0)</f>
        <v>1</v>
      </c>
      <c r="AZ47" s="70">
        <f ca="1">MIN((AY47*AW47*(Kcmax-H47)),AU47*Kcmax)</f>
        <v>0.0887592445952427</v>
      </c>
      <c r="BA47" s="70">
        <f ca="1">MIN(((1-AY47)*AX47*(Kcmax-H47)),AV47*Kcmax)</f>
        <v>0</v>
      </c>
      <c r="BB47" s="70">
        <f ca="1" t="shared" si="6"/>
        <v>0.0646167300653367</v>
      </c>
      <c r="BC47" s="70">
        <f ca="1">MIN((R47-AA47)/(R47*(1-(p+0.04*(5-I46)))),1)</f>
        <v>1</v>
      </c>
      <c r="BD47" s="10">
        <f ca="1" t="shared" si="7"/>
        <v>0.293252891308829</v>
      </c>
      <c r="BE47" s="70">
        <f ca="1">MIN(IF((1-AA47/R47)&gt;0,(1-Y47/TEW)/(1-AA47/R47)*(Ze/P47)^0.6,0),1)*BC47*H47*B47</f>
        <v>0.225718363540001</v>
      </c>
      <c r="BF47" s="70">
        <f ca="1">MIN(IF((1-AA47/R47)&gt;0,(1-Z47/TEW)/(1-AA47/R47)*(Ze/P47)^0.6,0),1)*BC47*H47*B47</f>
        <v>0.2418424944867</v>
      </c>
      <c r="BG47"/>
      <c r="BH47" s="10">
        <f ca="1" t="shared" si="8"/>
        <v>0.0402917214032135</v>
      </c>
      <c r="BI47" s="10">
        <f ca="1">IF(F47&lt;&gt;"",(Moy_Etobs-F47)^2,"")</f>
        <v>1.10307751807568</v>
      </c>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c r="A48" s="38">
        <v>39041</v>
      </c>
      <c r="B48" s="10">
        <v>0.613</v>
      </c>
      <c r="C48" s="39">
        <v>0.198</v>
      </c>
      <c r="D48">
        <v>0.429</v>
      </c>
      <c r="E48" s="39">
        <v>0</v>
      </c>
      <c r="F48" s="10">
        <v>0.7975674</v>
      </c>
      <c r="G48" s="10">
        <f ca="1">MIN(MAX(IF(AND(Durpla&gt;ROW()-MATCH(NDVImax,INDEX(D:D,Lig_min,1):INDEX(D:D,Lig_max,1),0)-Lig_min+1,ROW()-MATCH(NDVImax,INDEX(D:D,Lig_min,1):INDEX(D:D,Lig_max,1),0)-Lig_min+1&gt;0,D48*a_fc+b_fc&gt;fc_fin),NDVImax*a_fc+b_fc,D48*a_fc+b_fc),0),1)</f>
        <v>0.372</v>
      </c>
      <c r="H48" s="55">
        <f>MIN(MAX(D48*a_kcb+b_kcb,0),Kcmax)</f>
        <v>0.419353558487592</v>
      </c>
      <c r="I48" s="70">
        <f ca="1" t="shared" si="0"/>
        <v>0.310048439745313</v>
      </c>
      <c r="J48"/>
      <c r="K48"/>
      <c r="L48"/>
      <c r="M48"/>
      <c r="N48"/>
      <c r="O48" s="55"/>
      <c r="P48" s="35">
        <f ca="1">IF(ROW()-MATCH(NDVImax,INDEX(D:D,Lig_min,1):INDEX(D:D,Lig_max,1),0)-Lig_min+1&gt;0,MAX(MIN(Zr_min+MAX(INDEX(G:G,Lig_min,1):INDEX(G:G,Lig_max,1))/MAX(MAX(INDEX(G:G,Lig_min,1):INDEX(G:G,Lig_max,1)),Max_fc_pour_Zrmax)*(Zr_max-Zr_min),Zr_max),Ze+0.001),MAX(MIN(Zr_min+G48/MAX(MAX(INDEX(G:G,Lig_min,1):INDEX(G:G,Lig_max,1)),Max_fc_pour_Zrmax)*(Zr_max-Zr_min),Zr_max),Ze+0.001))</f>
        <v>300.046857924658</v>
      </c>
      <c r="Q48" s="35">
        <f ca="1">IF(Z_sol&gt;0,Z_sol-P48,0.1)</f>
        <v>313.827693139776</v>
      </c>
      <c r="R48" s="35">
        <f ca="1">(Wfc-Wwp)*P48</f>
        <v>39.0060915302055</v>
      </c>
      <c r="S48" s="35">
        <f ca="1">(Wfc-Wwp)*Q48</f>
        <v>40.7976001081709</v>
      </c>
      <c r="T48" s="99">
        <f ca="1" t="shared" si="9"/>
        <v>2.53477422940073</v>
      </c>
      <c r="U48" s="99">
        <f ca="1" t="shared" si="10"/>
        <v>0.241842583172818</v>
      </c>
      <c r="V48" s="99">
        <f ca="1">IF(P48&gt;P47,IF(Q48&gt;1,MAX(AI47+(Wfc-Wwp)*(P48-P47)*AJ47/S47,0),AI47/P47*P48),MAX(AI47+(Wfc-Wwp)*(P48-P47)*AI47/R47,0))</f>
        <v>11.1073271421032</v>
      </c>
      <c r="W48" s="99">
        <f ca="1">IF(S48&gt;1,IF(P48&gt;P47,MAX(AJ47-(Wfc-Wwp)*(P48-P47)*AJ47/S47,0),MAX(AJ47-(Wfc-Wwp)*(P48-P47)*AI47/R47,0)),0)</f>
        <v>15.9284399964626</v>
      </c>
      <c r="X48" s="99">
        <f ca="1">IF(AND(OR(AND(dec_vide_TAW&lt;0,V48&gt;R48*(p+0.04*(5-I47))),AND(dec_vide_TAW&gt;0,V48&gt;R48*dec_vide_TAW)),H48&gt;MAX(INDEX(H:H,Lig_min,1):INDEX(H:H,ROW(X48),1))*Kcbmax_stop_irrig*IF(ROW(X48)-lig_kcbmax&gt;0,1,0),MIN(INDEX(H:H,ROW(X48),1):INDEX(H:H,lig_kcbmax,1))&gt;Kcbmin_start_irrig),MIN(MAX(V48-E48*Irri_man-C48,0),Lame_max),0)</f>
        <v>0</v>
      </c>
      <c r="Y48" s="99">
        <f ca="1">MIN(MAX(T48-C48-IF(fw&gt;0,X48/fw*Irri_auto+E48/fw*Irri_man,0),0),TEW)</f>
        <v>2.33677422940073</v>
      </c>
      <c r="Z48" s="99">
        <f ca="1">MIN(MAX(U48-C48,0),TEW)</f>
        <v>0.0438425831728177</v>
      </c>
      <c r="AA48" s="99">
        <f ca="1">MIN(MAX(V48-C48-(X48*Irri_auto+E48*Irri_man),0),R48)</f>
        <v>10.9093271421032</v>
      </c>
      <c r="AB48" s="99">
        <f ca="1">MIN(MAX(W48+MIN(V48-C48-(X48*Irri_auto+E48*Irri_man),0),0),S48)</f>
        <v>15.9284399964626</v>
      </c>
      <c r="AC48" s="99">
        <f ca="1">-MIN(W48+MIN(V48-C48-(X48*Irri_auto+E48*Irri_man),0),0)</f>
        <v>0</v>
      </c>
      <c r="AD48" s="39">
        <f ca="1">IF(((R48-AA48)/P48-((Wfc-Wwp)*Ze-Y48)/Ze)/Wfc*DiffE&lt;0,MAX(((R48-AA48)/P48-((Wfc-Wwp)*Ze-Y48)/Ze)/Wfc*DiffE,(R48*Ze-((Wfc-Wwp)*Ze-Y48-AA48)*P48)/(P48+Ze)-AA48),MIN(((R48-AA48)/P48-((Wfc-Wwp)*Ze-Y48)/Ze)/Wfc*DiffE,(R48*Ze-((Wfc-Wwp)*Ze-Y48-AA48)*P48)/(P48+Ze)-AA48))</f>
        <v>-4.41613774684657e-8</v>
      </c>
      <c r="AE48" s="39">
        <f ca="1">IF(((R48-AA48)/P48-((Wfc-Wwp)*Ze-Z48)/Ze)/Wfc*DiffE&lt;0,MAX(((R48-AA48)/P48-((Wfc-Wwp)*Ze-Z48)/Ze)/Wfc*DiffE,(R48*Ze-((Wfc-Wwp)*Ze-Z48-AA48)*P48)/(P48+Ze)-AA48),MIN(((R48-AA48)/P48-((Wfc-Wwp)*Ze-Z48)/Ze)/Wfc*DiffE,(R48*Ze-((Wfc-Wwp)*Ze-Z48-AA48)*P48)/(P48+Ze)-AA48))</f>
        <v>-9.00200103930239e-8</v>
      </c>
      <c r="AF48" s="39">
        <f ca="1">IF(((S48-AB48)/Q48-(R48-AA48)/P48)/Wfc*DiffR&lt;0,MAX(((S48-AB48)/Q48-(R48-AA48)/P48)/Wfc*DiffR,(S48*P48-(R48-AA48-AB48)*Q48)/(P48+Q48)-AB48),MIN(((S48-AB48)/Q48-(R48-AA48)/P48)/Wfc*DiffR,(S48*P48-(R48-AA48-AB48)*Q48)/(P48+Q48)-AB48))</f>
        <v>-3.59915574859611e-8</v>
      </c>
      <c r="AG48" s="99">
        <f ca="1">MIN(MAX(Y48+IF(AU48&gt;0,B48*AZ48/AU48,0)+BE48-AD48,0),TEW)</f>
        <v>2.61729029113932</v>
      </c>
      <c r="AH48" s="99">
        <f ca="1">MIN(MAX(Z48+IF(AV48&gt;0,B48*BA48/AV48,0)+BF48-AE48,0),TEW)</f>
        <v>0.254595932579526</v>
      </c>
      <c r="AI48" s="99">
        <f ca="1" t="shared" si="1"/>
        <v>11.2193756178401</v>
      </c>
      <c r="AJ48" s="99">
        <f ca="1" t="shared" si="2"/>
        <v>15.928439960471</v>
      </c>
      <c r="AK48" s="70">
        <f ca="1">IF((AU48+AV48)&gt;0,(TEW-(AG48*AU48+AH48*AV48)/(AU48+AV48))/TEW,(TEW-(AG48+AH48)/2)/TEW)</f>
        <v>0.920987462909002</v>
      </c>
      <c r="AL48" s="70">
        <f ca="1" t="shared" si="3"/>
        <v>0.712368628137172</v>
      </c>
      <c r="AM48" s="70">
        <f ca="1" t="shared" si="4"/>
        <v>0.609574094597763</v>
      </c>
      <c r="AN48" s="70">
        <f ca="1">Wwp+(Wfc-Wwp)*IF((AU48+AV48)&gt;0,(TEW-(AG48*AU48+AH48*AV48)/(AU48+AV48))/TEW,(TEW-(AG48+AH48)/2)/TEW)</f>
        <v>0.38972837017817</v>
      </c>
      <c r="AO48" s="70">
        <f ca="1">Wwp+(Wfc-Wwp)*(R48-AI48)/R48</f>
        <v>0.362607921657832</v>
      </c>
      <c r="AP48" s="70">
        <f ca="1">Wwp+(Wfc-Wwp)*(S48-AJ48)/S48</f>
        <v>0.349244632297709</v>
      </c>
      <c r="AQ48" s="70"/>
      <c r="AR48" s="70"/>
      <c r="AS48" s="70"/>
      <c r="AT48" s="70"/>
      <c r="AU48" s="70">
        <f ca="1">MIN((1-G48),fw)</f>
        <v>0.628</v>
      </c>
      <c r="AV48" s="70">
        <f ca="1" t="shared" si="5"/>
        <v>0</v>
      </c>
      <c r="AW48" s="70">
        <f ca="1">MIN((TEW-Y48)/(TEW-REW),1)</f>
        <v>0.118299470426869</v>
      </c>
      <c r="AX48" s="70">
        <f ca="1">MIN((TEW-Z48)/(TEW-REW),1)</f>
        <v>0.127109740998965</v>
      </c>
      <c r="AY48" s="70">
        <f ca="1">IF((AU48*(TEW-Y48))&gt;0,1/(1+((AV48*(TEW-Z48))/(AU48*(TEW-Y48)))),0)</f>
        <v>1</v>
      </c>
      <c r="AZ48" s="70">
        <f ca="1">MIN((AY48*AW48*(Kcmax-H48)),AU48*Kcmax)</f>
        <v>0.086435087100194</v>
      </c>
      <c r="BA48" s="70">
        <f ca="1">MIN(((1-AY48)*AX48*(Kcmax-H48)),AV48*Kcmax)</f>
        <v>0</v>
      </c>
      <c r="BB48" s="70">
        <f ca="1" t="shared" si="6"/>
        <v>0.0529847083924189</v>
      </c>
      <c r="BC48" s="70">
        <f ca="1">MIN((R48-AA48)/(R48*(1-(p+0.04*(5-I47)))),1)</f>
        <v>1</v>
      </c>
      <c r="BD48" s="10">
        <f ca="1" t="shared" si="7"/>
        <v>0.257063731352894</v>
      </c>
      <c r="BE48" s="70">
        <f ca="1">MIN(IF((1-AA48/R48)&gt;0,(1-Y48/TEW)/(1-AA48/R48)*(Ze/P48)^0.6,0),1)*BC48*H48*B48</f>
        <v>0.196145462812216</v>
      </c>
      <c r="BF48" s="70">
        <f ca="1">MIN(IF((1-AA48/R48)&gt;0,(1-Z48/TEW)/(1-AA48/R48)*(Ze/P48)^0.6,0),1)*BC48*H48*B48</f>
        <v>0.210753259386698</v>
      </c>
      <c r="BG48"/>
      <c r="BH48" s="10">
        <f ca="1" t="shared" si="8"/>
        <v>0.237674736607811</v>
      </c>
      <c r="BI48" s="10">
        <f ca="1">IF(F48&lt;&gt;"",(Moy_Etobs-F48)^2,"")</f>
        <v>0.658216083091961</v>
      </c>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c r="A49" s="38">
        <v>39042</v>
      </c>
      <c r="B49" s="10">
        <v>0.935</v>
      </c>
      <c r="C49" s="39">
        <v>13.464</v>
      </c>
      <c r="D49">
        <v>0.44</v>
      </c>
      <c r="E49" s="39">
        <v>0</v>
      </c>
      <c r="F49"/>
      <c r="G49" s="10">
        <f ca="1">MIN(MAX(IF(AND(Durpla&gt;ROW()-MATCH(NDVImax,INDEX(D:D,Lig_min,1):INDEX(D:D,Lig_max,1),0)-Lig_min+1,ROW()-MATCH(NDVImax,INDEX(D:D,Lig_min,1):INDEX(D:D,Lig_max,1),0)-Lig_min+1&gt;0,D49*a_fc+b_fc&gt;fc_fin),NDVImax*a_fc+b_fc,D49*a_fc+b_fc),0),1)</f>
        <v>0.386666666666667</v>
      </c>
      <c r="H49" s="55">
        <f>MIN(MAX(D49*a_kcb+b_kcb,0),Kcmax)</f>
        <v>0.435887211331189</v>
      </c>
      <c r="I49" s="70">
        <f ca="1" t="shared" si="0"/>
        <v>0.492537618574717</v>
      </c>
      <c r="J49"/>
      <c r="K49"/>
      <c r="L49"/>
      <c r="M49"/>
      <c r="N49"/>
      <c r="O49" s="55"/>
      <c r="P49" s="35">
        <f ca="1">IF(ROW()-MATCH(NDVImax,INDEX(D:D,Lig_min,1):INDEX(D:D,Lig_max,1),0)-Lig_min+1&gt;0,MAX(MIN(Zr_min+MAX(INDEX(G:G,Lig_min,1):INDEX(G:G,Lig_max,1))/MAX(MAX(INDEX(G:G,Lig_min,1):INDEX(G:G,Lig_max,1)),Max_fc_pour_Zrmax)*(Zr_max-Zr_min),Zr_max),Ze+0.001),MAX(MIN(Zr_min+G49/MAX(MAX(INDEX(G:G,Lig_min,1):INDEX(G:G,Lig_max,1)),Max_fc_pour_Zrmax)*(Zr_max-Zr_min),Zr_max),Ze+0.001))</f>
        <v>306.948346946777</v>
      </c>
      <c r="Q49" s="35">
        <f ca="1">IF(Z_sol&gt;0,Z_sol-P49,0.1)</f>
        <v>306.926204117657</v>
      </c>
      <c r="R49" s="35">
        <f ca="1">(Wfc-Wwp)*P49</f>
        <v>39.903285103081</v>
      </c>
      <c r="S49" s="35">
        <f ca="1">(Wfc-Wwp)*Q49</f>
        <v>39.9004065352954</v>
      </c>
      <c r="T49" s="99">
        <f ca="1" t="shared" si="9"/>
        <v>2.61729029113932</v>
      </c>
      <c r="U49" s="99">
        <f ca="1" t="shared" si="10"/>
        <v>0.254595932579526</v>
      </c>
      <c r="V49" s="99">
        <f ca="1">IF(P49&gt;P48,IF(Q49&gt;1,MAX(AI48+(Wfc-Wwp)*(P49-P48)*AJ48/S48,0),AI48/P48*P49),MAX(AI48+(Wfc-Wwp)*(P49-P48)*AI48/R48,0))</f>
        <v>11.569663230851</v>
      </c>
      <c r="W49" s="99">
        <f ca="1">IF(S49&gt;1,IF(P49&gt;P48,MAX(AJ48-(Wfc-Wwp)*(P49-P48)*AJ48/S48,0),MAX(AJ48-(Wfc-Wwp)*(P49-P48)*AI48/R48,0)),0)</f>
        <v>15.5781523474601</v>
      </c>
      <c r="X49" s="99">
        <f ca="1">IF(AND(OR(AND(dec_vide_TAW&lt;0,V49&gt;R49*(p+0.04*(5-I48))),AND(dec_vide_TAW&gt;0,V49&gt;R49*dec_vide_TAW)),H49&gt;MAX(INDEX(H:H,Lig_min,1):INDEX(H:H,ROW(X49),1))*Kcbmax_stop_irrig*IF(ROW(X49)-lig_kcbmax&gt;0,1,0),MIN(INDEX(H:H,ROW(X49),1):INDEX(H:H,lig_kcbmax,1))&gt;Kcbmin_start_irrig),MIN(MAX(V49-E49*Irri_man-C49,0),Lame_max),0)</f>
        <v>0</v>
      </c>
      <c r="Y49" s="99">
        <f ca="1">MIN(MAX(T49-C49-IF(fw&gt;0,X49/fw*Irri_auto+E49/fw*Irri_man,0),0),TEW)</f>
        <v>0</v>
      </c>
      <c r="Z49" s="99">
        <f ca="1">MIN(MAX(U49-C49,0),TEW)</f>
        <v>0</v>
      </c>
      <c r="AA49" s="99">
        <f ca="1">MIN(MAX(V49-C49-(X49*Irri_auto+E49*Irri_man),0),R49)</f>
        <v>0</v>
      </c>
      <c r="AB49" s="99">
        <f ca="1">MIN(MAX(W49+MIN(V49-C49-(X49*Irri_auto+E49*Irri_man),0),0),S49)</f>
        <v>13.6838155783111</v>
      </c>
      <c r="AC49" s="99">
        <f ca="1">-MIN(W49+MIN(V49-C49-(X49*Irri_auto+E49*Irri_man),0),0)</f>
        <v>0</v>
      </c>
      <c r="AD49" s="39">
        <f ca="1">IF(((R49-AA49)/P49-((Wfc-Wwp)*Ze-Y49)/Ze)/Wfc*DiffE&lt;0,MAX(((R49-AA49)/P49-((Wfc-Wwp)*Ze-Y49)/Ze)/Wfc*DiffE,(R49*Ze-((Wfc-Wwp)*Ze-Y49-AA49)*P49)/(P49+Ze)-AA49),MIN(((R49-AA49)/P49-((Wfc-Wwp)*Ze-Y49)/Ze)/Wfc*DiffE,(R49*Ze-((Wfc-Wwp)*Ze-Y49-AA49)*P49)/(P49+Ze)-AA49))</f>
        <v>0</v>
      </c>
      <c r="AE49" s="39">
        <f ca="1">IF(((R49-AA49)/P49-((Wfc-Wwp)*Ze-Z49)/Ze)/Wfc*DiffE&lt;0,MAX(((R49-AA49)/P49-((Wfc-Wwp)*Ze-Z49)/Ze)/Wfc*DiffE,(R49*Ze-((Wfc-Wwp)*Ze-Z49-AA49)*P49)/(P49+Ze)-AA49),MIN(((R49-AA49)/P49-((Wfc-Wwp)*Ze-Z49)/Ze)/Wfc*DiffE,(R49*Ze-((Wfc-Wwp)*Ze-Z49-AA49)*P49)/(P49+Ze)-AA49))</f>
        <v>0</v>
      </c>
      <c r="AF49" s="39">
        <f ca="1">IF(((S49-AB49)/Q49-(R49-AA49)/P49)/Wfc*DiffR&lt;0,MAX(((S49-AB49)/Q49-(R49-AA49)/P49)/Wfc*DiffR,(S49*P49-(R49-AA49-AB49)*Q49)/(P49+Q49)-AB49),MIN(((S49-AB49)/Q49-(R49-AA49)/P49)/Wfc*DiffR,(S49*P49-(R49-AA49-AB49)*Q49)/(P49+Q49)-AB49))</f>
        <v>-1.11458515065934e-7</v>
      </c>
      <c r="AG49" s="99">
        <f ca="1">MIN(MAX(Y49+IF(AU49&gt;0,B49*AZ49/AU49,0)+BE49-AD49,0),TEW)</f>
        <v>0.376294057651234</v>
      </c>
      <c r="AH49" s="99">
        <f ca="1">MIN(MAX(Z49+IF(AV49&gt;0,B49*BA49/AV49,0)+BF49-AE49,0),TEW)</f>
        <v>0.237734694640274</v>
      </c>
      <c r="AI49" s="99">
        <f ca="1" t="shared" si="1"/>
        <v>0.492537730033232</v>
      </c>
      <c r="AJ49" s="99">
        <f ca="1" t="shared" si="2"/>
        <v>13.6838154668526</v>
      </c>
      <c r="AK49" s="70">
        <f ca="1">IF((AU49+AV49)&gt;0,(TEW-(AG49*AU49+AH49*AV49)/(AU49+AV49))/TEW,(TEW-(AG49+AH49)/2)/TEW)</f>
        <v>0.988640179391661</v>
      </c>
      <c r="AL49" s="70">
        <f ca="1" t="shared" si="3"/>
        <v>0.98765671225412</v>
      </c>
      <c r="AM49" s="70">
        <f ca="1" t="shared" si="4"/>
        <v>0.657050725667468</v>
      </c>
      <c r="AN49" s="70">
        <f ca="1">Wwp+(Wfc-Wwp)*IF((AU49+AV49)&gt;0,(TEW-(AG49*AU49+AH49*AV49)/(AU49+AV49))/TEW,(TEW-(AG49+AH49)/2)/TEW)</f>
        <v>0.398523223320916</v>
      </c>
      <c r="AO49" s="70">
        <f ca="1">Wwp+(Wfc-Wwp)*(R49-AI49)/R49</f>
        <v>0.398395372593036</v>
      </c>
      <c r="AP49" s="70">
        <f ca="1">Wwp+(Wfc-Wwp)*(S49-AJ49)/S49</f>
        <v>0.355416594336771</v>
      </c>
      <c r="AQ49" s="70"/>
      <c r="AR49" s="70"/>
      <c r="AS49" s="70"/>
      <c r="AT49" s="70"/>
      <c r="AU49" s="70">
        <f ca="1">MIN((1-G49),fw)</f>
        <v>0.613333333333333</v>
      </c>
      <c r="AV49" s="70">
        <f ca="1" t="shared" si="5"/>
        <v>0</v>
      </c>
      <c r="AW49" s="70">
        <f ca="1">MIN((TEW-Y49)/(TEW-REW),1)</f>
        <v>0.12727820001996</v>
      </c>
      <c r="AX49" s="70">
        <f ca="1">MIN((TEW-Z49)/(TEW-REW),1)</f>
        <v>0.12727820001996</v>
      </c>
      <c r="AY49" s="70">
        <f ca="1">IF((AU49*(TEW-Y49))&gt;0,1/(1+((AV49*(TEW-Z49))/(AU49*(TEW-Y49)))),0)</f>
        <v>1</v>
      </c>
      <c r="AZ49" s="70">
        <f ca="1">MIN((AY49*AW49*(Kcmax-H49)),AU49*Kcmax)</f>
        <v>0.0908909903530006</v>
      </c>
      <c r="BA49" s="70">
        <f ca="1">MIN(((1-AY49)*AX49*(Kcmax-H49)),AV49*Kcmax)</f>
        <v>0</v>
      </c>
      <c r="BB49" s="70">
        <f ca="1" t="shared" si="6"/>
        <v>0.0849830759800555</v>
      </c>
      <c r="BC49" s="70">
        <f ca="1">MIN((R49-AA49)/(R49*(1-(p+0.04*(5-I48)))),1)</f>
        <v>1</v>
      </c>
      <c r="BD49" s="10">
        <f ca="1" t="shared" si="7"/>
        <v>0.407554542594662</v>
      </c>
      <c r="BE49" s="70">
        <f ca="1">MIN(IF((1-AA49/R49)&gt;0,(1-Y49/TEW)/(1-AA49/R49)*(Ze/P49)^0.6,0),1)*BC49*H49*B49</f>
        <v>0.237734694640274</v>
      </c>
      <c r="BF49" s="70">
        <f ca="1">MIN(IF((1-AA49/R49)&gt;0,(1-Z49/TEW)/(1-AA49/R49)*(Ze/P49)^0.6,0),1)*BC49*H49*B49</f>
        <v>0.237734694640274</v>
      </c>
      <c r="BG49"/>
      <c r="BH49" s="10" t="str">
        <f ca="1" t="shared" si="8"/>
        <v/>
      </c>
      <c r="BI49" s="10" t="str">
        <f ca="1">IF(F49&lt;&gt;"",(Moy_Etobs-F49)^2,"")</f>
        <v/>
      </c>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c r="A50" s="38">
        <v>39043</v>
      </c>
      <c r="B50" s="10">
        <v>0.492</v>
      </c>
      <c r="C50" s="39">
        <v>12.276</v>
      </c>
      <c r="D50">
        <v>0.452</v>
      </c>
      <c r="E50" s="39">
        <v>0</v>
      </c>
      <c r="F50"/>
      <c r="G50" s="10">
        <f ca="1">MIN(MAX(IF(AND(Durpla&gt;ROW()-MATCH(NDVImax,INDEX(D:D,Lig_min,1):INDEX(D:D,Lig_max,1),0)-Lig_min+1,ROW()-MATCH(NDVImax,INDEX(D:D,Lig_min,1):INDEX(D:D,Lig_max,1),0)-Lig_min+1&gt;0,D50*a_fc+b_fc&gt;fc_fin),NDVImax*a_fc+b_fc,D50*a_fc+b_fc),0),1)</f>
        <v>0.402666666666667</v>
      </c>
      <c r="H50" s="55">
        <f>MIN(MAX(D50*a_kcb+b_kcb,0),Kcmax)</f>
        <v>0.453923923524204</v>
      </c>
      <c r="I50" s="70">
        <f ca="1" t="shared" si="0"/>
        <v>0.26691946293858</v>
      </c>
      <c r="J50"/>
      <c r="K50"/>
      <c r="L50"/>
      <c r="M50"/>
      <c r="N50"/>
      <c r="O50" s="55"/>
      <c r="P50" s="35">
        <f ca="1">IF(ROW()-MATCH(NDVImax,INDEX(D:D,Lig_min,1):INDEX(D:D,Lig_max,1),0)-Lig_min+1&gt;0,MAX(MIN(Zr_min+MAX(INDEX(G:G,Lig_min,1):INDEX(G:G,Lig_max,1))/MAX(MAX(INDEX(G:G,Lig_min,1):INDEX(G:G,Lig_max,1)),Max_fc_pour_Zrmax)*(Zr_max-Zr_min),Zr_max),Ze+0.001),MAX(MIN(Zr_min+G50/MAX(MAX(INDEX(G:G,Lig_min,1):INDEX(G:G,Lig_max,1)),Max_fc_pour_Zrmax)*(Zr_max-Zr_min),Zr_max),Ze+0.001))</f>
        <v>314.477244061816</v>
      </c>
      <c r="Q50" s="35">
        <f ca="1">IF(Z_sol&gt;0,Z_sol-P50,0.1)</f>
        <v>299.397307002618</v>
      </c>
      <c r="R50" s="35">
        <f ca="1">(Wfc-Wwp)*P50</f>
        <v>40.8820417280361</v>
      </c>
      <c r="S50" s="35">
        <f ca="1">(Wfc-Wwp)*Q50</f>
        <v>38.9216499103404</v>
      </c>
      <c r="T50" s="99">
        <f ca="1" t="shared" si="9"/>
        <v>0.376294057651234</v>
      </c>
      <c r="U50" s="99">
        <f ca="1" t="shared" si="10"/>
        <v>0.237734694640274</v>
      </c>
      <c r="V50" s="99">
        <f ca="1">IF(P50&gt;P49,IF(Q50&gt;1,MAX(AI49+(Wfc-Wwp)*(P50-P49)*AJ49/S49,0),AI49/P49*P50),MAX(AI49+(Wfc-Wwp)*(P50-P49)*AI49/R49,0))</f>
        <v>0.828201604309734</v>
      </c>
      <c r="W50" s="99">
        <f ca="1">IF(S50&gt;1,IF(P50&gt;P49,MAX(AJ49-(Wfc-Wwp)*(P50-P49)*AJ49/S49,0),MAX(AJ49-(Wfc-Wwp)*(P50-P49)*AI49/R49,0)),0)</f>
        <v>13.3481515925761</v>
      </c>
      <c r="X50" s="99">
        <f ca="1">IF(AND(OR(AND(dec_vide_TAW&lt;0,V50&gt;R50*(p+0.04*(5-I49))),AND(dec_vide_TAW&gt;0,V50&gt;R50*dec_vide_TAW)),H50&gt;MAX(INDEX(H:H,Lig_min,1):INDEX(H:H,ROW(X50),1))*Kcbmax_stop_irrig*IF(ROW(X50)-lig_kcbmax&gt;0,1,0),MIN(INDEX(H:H,ROW(X50),1):INDEX(H:H,lig_kcbmax,1))&gt;Kcbmin_start_irrig),MIN(MAX(V50-E50*Irri_man-C50,0),Lame_max),0)</f>
        <v>0</v>
      </c>
      <c r="Y50" s="99">
        <f ca="1">MIN(MAX(T50-C50-IF(fw&gt;0,X50/fw*Irri_auto+E50/fw*Irri_man,0),0),TEW)</f>
        <v>0</v>
      </c>
      <c r="Z50" s="99">
        <f ca="1">MIN(MAX(U50-C50,0),TEW)</f>
        <v>0</v>
      </c>
      <c r="AA50" s="99">
        <f ca="1">MIN(MAX(V50-C50-(X50*Irri_auto+E50*Irri_man),0),R50)</f>
        <v>0</v>
      </c>
      <c r="AB50" s="99">
        <f ca="1">MIN(MAX(W50+MIN(V50-C50-(X50*Irri_auto+E50*Irri_man),0),0),S50)</f>
        <v>1.90035319688582</v>
      </c>
      <c r="AC50" s="99">
        <f ca="1">-MIN(W50+MIN(V50-C50-(X50*Irri_auto+E50*Irri_man),0),0)</f>
        <v>0</v>
      </c>
      <c r="AD50" s="39">
        <f ca="1">IF(((R50-AA50)/P50-((Wfc-Wwp)*Ze-Y50)/Ze)/Wfc*DiffE&lt;0,MAX(((R50-AA50)/P50-((Wfc-Wwp)*Ze-Y50)/Ze)/Wfc*DiffE,(R50*Ze-((Wfc-Wwp)*Ze-Y50-AA50)*P50)/(P50+Ze)-AA50),MIN(((R50-AA50)/P50-((Wfc-Wwp)*Ze-Y50)/Ze)/Wfc*DiffE,(R50*Ze-((Wfc-Wwp)*Ze-Y50-AA50)*P50)/(P50+Ze)-AA50))</f>
        <v>0</v>
      </c>
      <c r="AE50" s="39">
        <f ca="1">IF(((R50-AA50)/P50-((Wfc-Wwp)*Ze-Z50)/Ze)/Wfc*DiffE&lt;0,MAX(((R50-AA50)/P50-((Wfc-Wwp)*Ze-Z50)/Ze)/Wfc*DiffE,(R50*Ze-((Wfc-Wwp)*Ze-Z50-AA50)*P50)/(P50+Ze)-AA50),MIN(((R50-AA50)/P50-((Wfc-Wwp)*Ze-Z50)/Ze)/Wfc*DiffE,(R50*Ze-((Wfc-Wwp)*Ze-Z50-AA50)*P50)/(P50+Ze)-AA50))</f>
        <v>0</v>
      </c>
      <c r="AF50" s="39">
        <f ca="1">IF(((S50-AB50)/Q50-(R50-AA50)/P50)/Wfc*DiffR&lt;0,MAX(((S50-AB50)/Q50-(R50-AA50)/P50)/Wfc*DiffR,(S50*P50-(R50-AA50-AB50)*Q50)/(P50+Q50)-AB50),MIN(((S50-AB50)/Q50-(R50-AA50)/P50)/Wfc*DiffR,(S50*P50-(R50-AA50-AB50)*Q50)/(P50+Q50)-AB50))</f>
        <v>-1.58681553945073e-8</v>
      </c>
      <c r="AG50" s="99">
        <f ca="1">MIN(MAX(Y50+IF(AU50&gt;0,B50*AZ50/AU50,0)+BE50-AD50,0),TEW)</f>
        <v>0.201365269854674</v>
      </c>
      <c r="AH50" s="99">
        <f ca="1">MIN(MAX(Z50+IF(AV50&gt;0,B50*BA50/AV50,0)+BF50-AE50,0),TEW)</f>
        <v>0.128392793462925</v>
      </c>
      <c r="AI50" s="99">
        <f ca="1" t="shared" si="1"/>
        <v>0.266919478806735</v>
      </c>
      <c r="AJ50" s="99">
        <f ca="1" t="shared" si="2"/>
        <v>1.90035318101766</v>
      </c>
      <c r="AK50" s="70">
        <f ca="1">IF((AU50+AV50)&gt;0,(TEW-(AG50*AU50+AH50*AV50)/(AU50+AV50))/TEW,(TEW-(AG50+AH50)/2)/TEW)</f>
        <v>0.993921048457217</v>
      </c>
      <c r="AL50" s="70">
        <f ca="1" t="shared" si="3"/>
        <v>0.993470984629819</v>
      </c>
      <c r="AM50" s="70">
        <f ca="1" t="shared" si="4"/>
        <v>0.951174906886134</v>
      </c>
      <c r="AN50" s="70">
        <f ca="1">Wwp+(Wfc-Wwp)*IF((AU50+AV50)&gt;0,(TEW-(AG50*AU50+AH50*AV50)/(AU50+AV50))/TEW,(TEW-(AG50+AH50)/2)/TEW)</f>
        <v>0.399209736299438</v>
      </c>
      <c r="AO50" s="70">
        <f ca="1">Wwp+(Wfc-Wwp)*(R50-AI50)/R50</f>
        <v>0.399151228001876</v>
      </c>
      <c r="AP50" s="70">
        <f ca="1">Wwp+(Wfc-Wwp)*(S50-AJ50)/S50</f>
        <v>0.393652737895197</v>
      </c>
      <c r="AQ50" s="70"/>
      <c r="AR50" s="70"/>
      <c r="AS50" s="70"/>
      <c r="AT50" s="70"/>
      <c r="AU50" s="70">
        <f ca="1">MIN((1-G50),fw)</f>
        <v>0.597333333333333</v>
      </c>
      <c r="AV50" s="70">
        <f ca="1" t="shared" si="5"/>
        <v>0</v>
      </c>
      <c r="AW50" s="70">
        <f ca="1">MIN((TEW-Y50)/(TEW-REW),1)</f>
        <v>0.12727820001996</v>
      </c>
      <c r="AX50" s="70">
        <f ca="1">MIN((TEW-Z50)/(TEW-REW),1)</f>
        <v>0.12727820001996</v>
      </c>
      <c r="AY50" s="70">
        <f ca="1">IF((AU50*(TEW-Y50))&gt;0,1/(1+((AV50*(TEW-Z50))/(AU50*(TEW-Y50)))),0)</f>
        <v>1</v>
      </c>
      <c r="AZ50" s="70">
        <f ca="1">MIN((AY50*AW50*(Kcmax-H50)),AU50*Kcmax)</f>
        <v>0.0885953100907956</v>
      </c>
      <c r="BA50" s="70">
        <f ca="1">MIN(((1-AY50)*AX50*(Kcmax-H50)),AV50*Kcmax)</f>
        <v>0</v>
      </c>
      <c r="BB50" s="70">
        <f ca="1" t="shared" si="6"/>
        <v>0.0435888925646714</v>
      </c>
      <c r="BC50" s="70">
        <f ca="1">MIN((R50-AA50)/(R50*(1-(p+0.04*(5-I49)))),1)</f>
        <v>1</v>
      </c>
      <c r="BD50" s="10">
        <f ca="1" t="shared" si="7"/>
        <v>0.223330570373908</v>
      </c>
      <c r="BE50" s="70">
        <f ca="1">MIN(IF((1-AA50/R50)&gt;0,(1-Y50/TEW)/(1-AA50/R50)*(Ze/P50)^0.6,0),1)*BC50*H50*B50</f>
        <v>0.128392793462925</v>
      </c>
      <c r="BF50" s="70">
        <f ca="1">MIN(IF((1-AA50/R50)&gt;0,(1-Z50/TEW)/(1-AA50/R50)*(Ze/P50)^0.6,0),1)*BC50*H50*B50</f>
        <v>0.128392793462925</v>
      </c>
      <c r="BG50"/>
      <c r="BH50" s="10" t="str">
        <f ca="1" t="shared" si="8"/>
        <v/>
      </c>
      <c r="BI50" s="10" t="str">
        <f ca="1">IF(F50&lt;&gt;"",(Moy_Etobs-F50)^2,"")</f>
        <v/>
      </c>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c r="JF50"/>
      <c r="JG50"/>
      <c r="JH50"/>
      <c r="JI50"/>
      <c r="JJ50"/>
      <c r="JK50"/>
      <c r="JL50"/>
      <c r="JM50"/>
      <c r="JN50"/>
      <c r="JO50"/>
      <c r="JP50"/>
      <c r="JQ50"/>
      <c r="JR50"/>
      <c r="JS50"/>
      <c r="JT50"/>
      <c r="JU50"/>
      <c r="JV50"/>
      <c r="JW50"/>
      <c r="JX50"/>
      <c r="JY50"/>
      <c r="JZ50"/>
      <c r="KA50"/>
      <c r="KB50"/>
      <c r="KC50"/>
      <c r="KD50"/>
      <c r="KE50"/>
      <c r="KF50"/>
      <c r="KG50"/>
      <c r="KH50"/>
      <c r="KI50"/>
      <c r="KJ50"/>
      <c r="KK50"/>
      <c r="KL50"/>
      <c r="KM50"/>
      <c r="KN50"/>
      <c r="KO50"/>
      <c r="KP50"/>
      <c r="KQ50"/>
      <c r="KR50"/>
      <c r="KS50"/>
      <c r="KT50"/>
      <c r="KU50"/>
      <c r="KV50"/>
      <c r="KW50"/>
      <c r="KX50"/>
      <c r="KY50"/>
      <c r="KZ50"/>
      <c r="LA50"/>
      <c r="LB50"/>
      <c r="LC50"/>
      <c r="LD50"/>
      <c r="LE50"/>
      <c r="LF50"/>
      <c r="LG50"/>
      <c r="LH50"/>
      <c r="LI50"/>
      <c r="LJ50"/>
      <c r="LK50"/>
      <c r="LL50"/>
      <c r="LM50"/>
      <c r="LN50"/>
      <c r="LO50"/>
      <c r="LP50"/>
      <c r="LQ50"/>
      <c r="LR50"/>
      <c r="LS50"/>
      <c r="LT50"/>
      <c r="LU50"/>
      <c r="LV50"/>
      <c r="LW50"/>
      <c r="LX50"/>
      <c r="LY50"/>
      <c r="LZ50"/>
      <c r="MA50"/>
      <c r="MB50"/>
      <c r="MC50"/>
      <c r="MD50"/>
      <c r="ME50"/>
      <c r="MF50"/>
      <c r="MG50"/>
      <c r="MH50"/>
      <c r="MI50"/>
      <c r="MJ50"/>
      <c r="MK50"/>
      <c r="ML50"/>
      <c r="MM50"/>
      <c r="MN50"/>
      <c r="MO50"/>
      <c r="MP50"/>
      <c r="MQ50"/>
      <c r="MR50"/>
      <c r="MS50"/>
      <c r="MT50"/>
      <c r="MU50"/>
      <c r="MV50"/>
      <c r="MW50"/>
      <c r="MX50"/>
      <c r="MY50"/>
      <c r="MZ50"/>
      <c r="NA50"/>
      <c r="NB50"/>
      <c r="NC50"/>
      <c r="ND50"/>
      <c r="NE50"/>
      <c r="NF50"/>
      <c r="NG50"/>
      <c r="NH50"/>
      <c r="NI50"/>
      <c r="NJ50"/>
      <c r="NK50"/>
      <c r="NL50"/>
      <c r="NM50"/>
      <c r="NN50"/>
      <c r="NO50"/>
      <c r="NP50"/>
      <c r="NQ50"/>
      <c r="NR50"/>
      <c r="NS50"/>
      <c r="NT50"/>
      <c r="NU50"/>
      <c r="NV50"/>
      <c r="NW50"/>
      <c r="NX50"/>
      <c r="NY50"/>
      <c r="NZ50"/>
      <c r="OA50"/>
      <c r="OB50"/>
      <c r="OC50"/>
      <c r="OD50"/>
      <c r="OE50"/>
      <c r="OF50"/>
      <c r="OG50"/>
      <c r="OH50"/>
      <c r="OI50"/>
      <c r="OJ50"/>
      <c r="OK50"/>
      <c r="OL50"/>
      <c r="OM50"/>
      <c r="ON50"/>
      <c r="OO50"/>
      <c r="OP50"/>
      <c r="OQ50"/>
      <c r="OR50"/>
      <c r="OS50"/>
      <c r="OT50"/>
      <c r="OU50"/>
      <c r="OV50"/>
      <c r="OW50"/>
      <c r="OX50"/>
      <c r="OY50"/>
      <c r="OZ50"/>
      <c r="PA50"/>
      <c r="PB50"/>
      <c r="PC50"/>
      <c r="PD50"/>
      <c r="PE50"/>
      <c r="PF50"/>
      <c r="PG50"/>
      <c r="PH50"/>
      <c r="PI50"/>
      <c r="PJ50"/>
      <c r="PK50"/>
      <c r="PL50"/>
      <c r="PM50"/>
      <c r="PN50"/>
      <c r="PO50"/>
      <c r="PP50"/>
      <c r="PQ50"/>
      <c r="PR50"/>
      <c r="PS50"/>
      <c r="PT50"/>
      <c r="PU50"/>
      <c r="PV50"/>
      <c r="PW50"/>
      <c r="PX50"/>
      <c r="PY50"/>
      <c r="PZ50"/>
      <c r="QA50"/>
      <c r="QB50"/>
      <c r="QC50"/>
      <c r="QD50"/>
      <c r="QE50"/>
      <c r="QF50"/>
      <c r="QG50"/>
      <c r="QH50"/>
      <c r="QI50"/>
      <c r="QJ50"/>
      <c r="QK50"/>
      <c r="QL50"/>
      <c r="QM50"/>
      <c r="QN50"/>
      <c r="QO50"/>
      <c r="QP50"/>
      <c r="QQ50"/>
      <c r="QR50"/>
      <c r="QS50"/>
      <c r="QT50"/>
      <c r="QU50"/>
      <c r="QV50"/>
      <c r="QW50"/>
      <c r="QX50"/>
      <c r="QY50"/>
      <c r="QZ50"/>
      <c r="RA50"/>
      <c r="RB50"/>
      <c r="RC50"/>
      <c r="RD50"/>
      <c r="RE50"/>
      <c r="RF50"/>
      <c r="RG50"/>
      <c r="RH50"/>
      <c r="RI50"/>
      <c r="RJ50"/>
      <c r="RK50"/>
      <c r="RL50"/>
      <c r="RM50"/>
      <c r="RN50"/>
      <c r="RO50"/>
      <c r="RP50"/>
      <c r="RQ50"/>
      <c r="RR50"/>
      <c r="RS50"/>
      <c r="RT50"/>
      <c r="RU50"/>
      <c r="RV50"/>
      <c r="RW50"/>
      <c r="RX50"/>
      <c r="RY50"/>
      <c r="RZ50"/>
      <c r="SA50"/>
      <c r="SB50"/>
      <c r="SC50"/>
      <c r="SD50"/>
      <c r="SE50"/>
      <c r="SF50"/>
      <c r="SG50"/>
      <c r="SH50"/>
      <c r="SI50"/>
      <c r="SJ50"/>
      <c r="SK50"/>
      <c r="SL50"/>
      <c r="SM50"/>
      <c r="SN50"/>
      <c r="SO50"/>
      <c r="SP50"/>
      <c r="SQ50"/>
      <c r="SR50"/>
      <c r="SS50"/>
      <c r="ST50"/>
      <c r="SU50"/>
      <c r="SV50"/>
      <c r="SW50"/>
      <c r="SX50"/>
      <c r="SY50"/>
      <c r="SZ50"/>
      <c r="TA50"/>
      <c r="TB50"/>
      <c r="TC50"/>
      <c r="TD50"/>
      <c r="TE50"/>
      <c r="TF50"/>
      <c r="TG50"/>
      <c r="TH50"/>
      <c r="TI50"/>
      <c r="TJ50"/>
      <c r="TK50"/>
      <c r="TL50"/>
      <c r="TM50"/>
      <c r="TN50"/>
      <c r="TO50"/>
      <c r="TP50"/>
      <c r="TQ50"/>
      <c r="TR50"/>
      <c r="TS50"/>
      <c r="TT50"/>
      <c r="TU50"/>
      <c r="TV50"/>
      <c r="TW50"/>
      <c r="TX50"/>
      <c r="TY50"/>
      <c r="TZ50"/>
      <c r="UA50"/>
      <c r="UB50"/>
      <c r="UC50"/>
      <c r="UD50"/>
      <c r="UE50"/>
      <c r="UF50"/>
      <c r="UG50"/>
      <c r="UH50"/>
      <c r="UI50"/>
      <c r="UJ50"/>
      <c r="UK50"/>
      <c r="UL50"/>
      <c r="UM50"/>
      <c r="UN50"/>
      <c r="UO50"/>
      <c r="UP50"/>
      <c r="UQ50"/>
      <c r="UR50"/>
      <c r="US50"/>
      <c r="UT50"/>
      <c r="UU50"/>
      <c r="UV50"/>
      <c r="UW50"/>
      <c r="UX50"/>
      <c r="UY50"/>
      <c r="UZ50"/>
      <c r="VA50"/>
      <c r="VB50"/>
      <c r="VC50"/>
      <c r="VD50"/>
      <c r="VE50"/>
      <c r="VF50"/>
      <c r="VG50"/>
      <c r="VH50"/>
      <c r="VI50"/>
      <c r="VJ50"/>
      <c r="VK50"/>
      <c r="VL50"/>
      <c r="VM50"/>
      <c r="VN50"/>
      <c r="VO50"/>
      <c r="VP50"/>
      <c r="VQ50"/>
      <c r="VR50"/>
      <c r="VS50"/>
      <c r="VT50"/>
      <c r="VU50"/>
      <c r="VV50"/>
      <c r="VW50"/>
      <c r="VX50"/>
      <c r="VY50"/>
      <c r="VZ50"/>
      <c r="WA50"/>
      <c r="WB50"/>
      <c r="WC50"/>
      <c r="WD50"/>
      <c r="WE50"/>
      <c r="WF50"/>
      <c r="WG50"/>
      <c r="WH50"/>
      <c r="WI50"/>
      <c r="WJ50"/>
      <c r="WK50"/>
      <c r="WL50"/>
      <c r="WM50"/>
      <c r="WN50"/>
      <c r="WO50"/>
      <c r="WP50"/>
      <c r="WQ50"/>
      <c r="WR50"/>
      <c r="WS50"/>
      <c r="WT50"/>
      <c r="WU50"/>
      <c r="WV50"/>
      <c r="WW50"/>
      <c r="WX50"/>
      <c r="WY50"/>
      <c r="WZ50"/>
      <c r="XA50"/>
      <c r="XB50"/>
      <c r="XC50"/>
      <c r="XD50"/>
      <c r="XE50"/>
      <c r="XF50"/>
      <c r="XG50"/>
      <c r="XH50"/>
      <c r="XI50"/>
      <c r="XJ50"/>
      <c r="XK50"/>
      <c r="XL50"/>
      <c r="XM50"/>
      <c r="XN50"/>
      <c r="XO50"/>
      <c r="XP50"/>
      <c r="XQ50"/>
      <c r="XR50"/>
      <c r="XS50"/>
      <c r="XT50"/>
      <c r="XU50"/>
      <c r="XV50"/>
      <c r="XW50"/>
      <c r="XX50"/>
      <c r="XY50"/>
      <c r="XZ50"/>
      <c r="YA50"/>
      <c r="YB50"/>
      <c r="YC50"/>
      <c r="YD50"/>
      <c r="YE50"/>
      <c r="YF50"/>
      <c r="YG50"/>
      <c r="YH50"/>
      <c r="YI50"/>
      <c r="YJ50"/>
      <c r="YK50"/>
      <c r="YL50"/>
      <c r="YM50"/>
      <c r="YN50"/>
      <c r="YO50"/>
      <c r="YP50"/>
      <c r="YQ50"/>
      <c r="YR50"/>
      <c r="YS50"/>
      <c r="YT50"/>
      <c r="YU50"/>
      <c r="YV50"/>
      <c r="YW50"/>
      <c r="YX50"/>
      <c r="YY50"/>
      <c r="YZ50"/>
      <c r="ZA50"/>
      <c r="ZB50"/>
      <c r="ZC50"/>
      <c r="ZD50"/>
      <c r="ZE50"/>
      <c r="ZF50"/>
      <c r="ZG50"/>
      <c r="ZH50"/>
      <c r="ZI50"/>
      <c r="ZJ50"/>
      <c r="ZK50"/>
      <c r="ZL50"/>
      <c r="ZM50"/>
      <c r="ZN50"/>
      <c r="ZO50"/>
      <c r="ZP50"/>
      <c r="ZQ50"/>
      <c r="ZR50"/>
      <c r="ZS50"/>
      <c r="ZT50"/>
      <c r="ZU50"/>
      <c r="ZV50"/>
      <c r="ZW50"/>
      <c r="ZX50"/>
      <c r="ZY50"/>
      <c r="ZZ50"/>
      <c r="AAA50"/>
      <c r="AAB50"/>
      <c r="AAC50"/>
      <c r="AAD50"/>
      <c r="AAE50"/>
      <c r="AAF50"/>
      <c r="AAG50"/>
      <c r="AAH50"/>
      <c r="AAI50"/>
      <c r="AAJ50"/>
      <c r="AAK50"/>
      <c r="AAL50"/>
      <c r="AAM50"/>
      <c r="AAN50"/>
      <c r="AAO50"/>
      <c r="AAP50"/>
      <c r="AAQ50"/>
      <c r="AAR50"/>
      <c r="AAS50"/>
      <c r="AAT50"/>
      <c r="AAU50"/>
      <c r="AAV50"/>
      <c r="AAW50"/>
      <c r="AAX50"/>
      <c r="AAY50"/>
      <c r="AAZ50"/>
      <c r="ABA50"/>
      <c r="ABB50"/>
      <c r="ABC50"/>
      <c r="ABD50"/>
      <c r="ABE50"/>
      <c r="ABF50"/>
      <c r="ABG50"/>
      <c r="ABH50"/>
      <c r="ABI50"/>
      <c r="ABJ50"/>
      <c r="ABK50"/>
      <c r="ABL50"/>
      <c r="ABM50"/>
      <c r="ABN50"/>
      <c r="ABO50"/>
      <c r="ABP50"/>
      <c r="ABQ50"/>
      <c r="ABR50"/>
      <c r="ABS50"/>
      <c r="ABT50"/>
      <c r="ABU50"/>
      <c r="ABV50"/>
      <c r="ABW50"/>
      <c r="ABX50"/>
      <c r="ABY50"/>
      <c r="ABZ50"/>
      <c r="ACA50"/>
      <c r="ACB50"/>
      <c r="ACC50"/>
      <c r="ACD50"/>
      <c r="ACE50"/>
      <c r="ACF50"/>
      <c r="ACG50"/>
      <c r="ACH50"/>
      <c r="ACI50"/>
      <c r="ACJ50"/>
      <c r="ACK50"/>
      <c r="ACL50"/>
      <c r="ACM50"/>
      <c r="ACN50"/>
      <c r="ACO50"/>
      <c r="ACP50"/>
      <c r="ACQ50"/>
      <c r="ACR50"/>
      <c r="ACS50"/>
      <c r="ACT50"/>
      <c r="ACU50"/>
      <c r="ACV50"/>
      <c r="ACW50"/>
      <c r="ACX50"/>
      <c r="ACY50"/>
      <c r="ACZ50"/>
      <c r="ADA50"/>
      <c r="ADB50"/>
      <c r="ADC50"/>
      <c r="ADD50"/>
      <c r="ADE50"/>
      <c r="ADF50"/>
      <c r="ADG50"/>
      <c r="ADH50"/>
      <c r="ADI50"/>
      <c r="ADJ50"/>
      <c r="ADK50"/>
      <c r="ADL50"/>
      <c r="ADM50"/>
      <c r="ADN50"/>
      <c r="ADO50"/>
      <c r="ADP50"/>
      <c r="ADQ50"/>
      <c r="ADR50"/>
      <c r="ADS50"/>
      <c r="ADT50"/>
      <c r="ADU50"/>
      <c r="ADV50"/>
      <c r="ADW50"/>
      <c r="ADX50"/>
      <c r="ADY50"/>
      <c r="ADZ50"/>
      <c r="AEA50"/>
      <c r="AEB50"/>
      <c r="AEC50"/>
      <c r="AED50"/>
      <c r="AEE50"/>
      <c r="AEF50"/>
      <c r="AEG50"/>
      <c r="AEH50"/>
      <c r="AEI50"/>
      <c r="AEJ50"/>
      <c r="AEK50"/>
      <c r="AEL50"/>
      <c r="AEM50"/>
      <c r="AEN50"/>
      <c r="AEO50"/>
      <c r="AEP50"/>
      <c r="AEQ50"/>
      <c r="AER50"/>
      <c r="AES50"/>
      <c r="AET50"/>
      <c r="AEU50"/>
      <c r="AEV50"/>
      <c r="AEW50"/>
      <c r="AEX50"/>
      <c r="AEY50"/>
      <c r="AEZ50"/>
      <c r="AFA50"/>
      <c r="AFB50"/>
      <c r="AFC50"/>
      <c r="AFD50"/>
      <c r="AFE50"/>
      <c r="AFF50"/>
      <c r="AFG50"/>
      <c r="AFH50"/>
      <c r="AFI50"/>
      <c r="AFJ50"/>
      <c r="AFK50"/>
      <c r="AFL50"/>
      <c r="AFM50"/>
      <c r="AFN50"/>
      <c r="AFO50"/>
      <c r="AFP50"/>
      <c r="AFQ50"/>
      <c r="AFR50"/>
      <c r="AFS50"/>
      <c r="AFT50"/>
      <c r="AFU50"/>
      <c r="AFV50"/>
      <c r="AFW50"/>
      <c r="AFX50"/>
      <c r="AFY50"/>
      <c r="AFZ50"/>
      <c r="AGA50"/>
      <c r="AGB50"/>
      <c r="AGC50"/>
      <c r="AGD50"/>
      <c r="AGE50"/>
      <c r="AGF50"/>
      <c r="AGG50"/>
      <c r="AGH50"/>
      <c r="AGI50"/>
      <c r="AGJ50"/>
      <c r="AGK50"/>
      <c r="AGL50"/>
      <c r="AGM50"/>
      <c r="AGN50"/>
      <c r="AGO50"/>
      <c r="AGP50"/>
      <c r="AGQ50"/>
      <c r="AGR50"/>
      <c r="AGS50"/>
      <c r="AGT50"/>
      <c r="AGU50"/>
      <c r="AGV50"/>
      <c r="AGW50"/>
      <c r="AGX50"/>
      <c r="AGY50"/>
      <c r="AGZ50"/>
      <c r="AHA50"/>
      <c r="AHB50"/>
      <c r="AHC50"/>
      <c r="AHD50"/>
      <c r="AHE50"/>
      <c r="AHF50"/>
      <c r="AHG50"/>
      <c r="AHH50"/>
      <c r="AHI50"/>
      <c r="AHJ50"/>
      <c r="AHK50"/>
      <c r="AHL50"/>
      <c r="AHM50"/>
      <c r="AHN50"/>
      <c r="AHO50"/>
      <c r="AHP50"/>
      <c r="AHQ50"/>
      <c r="AHR50"/>
      <c r="AHS50"/>
      <c r="AHT50"/>
      <c r="AHU50"/>
      <c r="AHV50"/>
      <c r="AHW50"/>
      <c r="AHX50"/>
      <c r="AHY50"/>
      <c r="AHZ50"/>
      <c r="AIA50"/>
      <c r="AIB50"/>
      <c r="AIC50"/>
      <c r="AID50"/>
      <c r="AIE50"/>
      <c r="AIF50"/>
      <c r="AIG50"/>
      <c r="AIH50"/>
      <c r="AII50"/>
      <c r="AIJ5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c r="A51" s="38">
        <v>39044</v>
      </c>
      <c r="B51" s="10">
        <v>1.064</v>
      </c>
      <c r="C51" s="39">
        <v>0.792</v>
      </c>
      <c r="D51">
        <v>0.463</v>
      </c>
      <c r="E51" s="39">
        <v>0</v>
      </c>
      <c r="F51" s="10">
        <v>0.846918</v>
      </c>
      <c r="G51" s="10">
        <f ca="1">MIN(MAX(IF(AND(Durpla&gt;ROW()-MATCH(NDVImax,INDEX(D:D,Lig_min,1):INDEX(D:D,Lig_max,1),0)-Lig_min+1,ROW()-MATCH(NDVImax,INDEX(D:D,Lig_min,1):INDEX(D:D,Lig_max,1),0)-Lig_min+1&gt;0,D51*a_fc+b_fc&gt;fc_fin),NDVImax*a_fc+b_fc,D51*a_fc+b_fc),0),1)</f>
        <v>0.417333333333333</v>
      </c>
      <c r="H51" s="55">
        <f>MIN(MAX(D51*a_kcb+b_kcb,0),Kcmax)</f>
        <v>0.470457576367801</v>
      </c>
      <c r="I51" s="70">
        <f ca="1" t="shared" si="0"/>
        <v>0.592593217709542</v>
      </c>
      <c r="J51"/>
      <c r="K51"/>
      <c r="L51"/>
      <c r="M51"/>
      <c r="N51"/>
      <c r="O51" s="55"/>
      <c r="P51" s="35">
        <f ca="1">IF(ROW()-MATCH(NDVImax,INDEX(D:D,Lig_min,1):INDEX(D:D,Lig_max,1),0)-Lig_min+1&gt;0,MAX(MIN(Zr_min+MAX(INDEX(G:G,Lig_min,1):INDEX(G:G,Lig_max,1))/MAX(MAX(INDEX(G:G,Lig_min,1):INDEX(G:G,Lig_max,1)),Max_fc_pour_Zrmax)*(Zr_max-Zr_min),Zr_max),Ze+0.001),MAX(MIN(Zr_min+G51/MAX(MAX(INDEX(G:G,Lig_min,1):INDEX(G:G,Lig_max,1)),Max_fc_pour_Zrmax)*(Zr_max-Zr_min),Zr_max),Ze+0.001))</f>
        <v>321.378733083935</v>
      </c>
      <c r="Q51" s="35">
        <f ca="1">IF(Z_sol&gt;0,Z_sol-P51,0.1)</f>
        <v>292.495817980499</v>
      </c>
      <c r="R51" s="35">
        <f ca="1">(Wfc-Wwp)*P51</f>
        <v>41.7792353009116</v>
      </c>
      <c r="S51" s="35">
        <f ca="1">(Wfc-Wwp)*Q51</f>
        <v>38.0244563374649</v>
      </c>
      <c r="T51" s="99">
        <f ca="1" t="shared" si="9"/>
        <v>0.201365269854674</v>
      </c>
      <c r="U51" s="99">
        <f ca="1" t="shared" si="10"/>
        <v>0.128392793462925</v>
      </c>
      <c r="V51" s="99">
        <f ca="1">IF(P51&gt;P50,IF(Q51&gt;1,MAX(AI50+(Wfc-Wwp)*(P51-P50)*AJ50/S50,0),AI50/P50*P51),MAX(AI50+(Wfc-Wwp)*(P51-P50)*AI50/R50,0))</f>
        <v>0.310725038543543</v>
      </c>
      <c r="W51" s="99">
        <f ca="1">IF(S51&gt;1,IF(P51&gt;P50,MAX(AJ50-(Wfc-Wwp)*(P51-P50)*AJ50/S50,0),MAX(AJ50-(Wfc-Wwp)*(P51-P50)*AI50/R50,0)),0)</f>
        <v>1.85654762128086</v>
      </c>
      <c r="X51" s="99">
        <f ca="1">IF(AND(OR(AND(dec_vide_TAW&lt;0,V51&gt;R51*(p+0.04*(5-I50))),AND(dec_vide_TAW&gt;0,V51&gt;R51*dec_vide_TAW)),H51&gt;MAX(INDEX(H:H,Lig_min,1):INDEX(H:H,ROW(X51),1))*Kcbmax_stop_irrig*IF(ROW(X51)-lig_kcbmax&gt;0,1,0),MIN(INDEX(H:H,ROW(X51),1):INDEX(H:H,lig_kcbmax,1))&gt;Kcbmin_start_irrig),MIN(MAX(V51-E51*Irri_man-C51,0),Lame_max),0)</f>
        <v>0</v>
      </c>
      <c r="Y51" s="99">
        <f ca="1">MIN(MAX(T51-C51-IF(fw&gt;0,X51/fw*Irri_auto+E51/fw*Irri_man,0),0),TEW)</f>
        <v>0</v>
      </c>
      <c r="Z51" s="99">
        <f ca="1">MIN(MAX(U51-C51,0),TEW)</f>
        <v>0</v>
      </c>
      <c r="AA51" s="99">
        <f ca="1">MIN(MAX(V51-C51-(X51*Irri_auto+E51*Irri_man),0),R51)</f>
        <v>0</v>
      </c>
      <c r="AB51" s="99">
        <f ca="1">MIN(MAX(W51+MIN(V51-C51-(X51*Irri_auto+E51*Irri_man),0),0),S51)</f>
        <v>1.3752726598244</v>
      </c>
      <c r="AC51" s="99">
        <f ca="1">-MIN(W51+MIN(V51-C51-(X51*Irri_auto+E51*Irri_man),0),0)</f>
        <v>0</v>
      </c>
      <c r="AD51" s="39">
        <f ca="1">IF(((R51-AA51)/P51-((Wfc-Wwp)*Ze-Y51)/Ze)/Wfc*DiffE&lt;0,MAX(((R51-AA51)/P51-((Wfc-Wwp)*Ze-Y51)/Ze)/Wfc*DiffE,(R51*Ze-((Wfc-Wwp)*Ze-Y51-AA51)*P51)/(P51+Ze)-AA51),MIN(((R51-AA51)/P51-((Wfc-Wwp)*Ze-Y51)/Ze)/Wfc*DiffE,(R51*Ze-((Wfc-Wwp)*Ze-Y51-AA51)*P51)/(P51+Ze)-AA51))</f>
        <v>0</v>
      </c>
      <c r="AE51" s="39">
        <f ca="1">IF(((R51-AA51)/P51-((Wfc-Wwp)*Ze-Z51)/Ze)/Wfc*DiffE&lt;0,MAX(((R51-AA51)/P51-((Wfc-Wwp)*Ze-Z51)/Ze)/Wfc*DiffE,(R51*Ze-((Wfc-Wwp)*Ze-Z51-AA51)*P51)/(P51+Ze)-AA51),MIN(((R51-AA51)/P51-((Wfc-Wwp)*Ze-Z51)/Ze)/Wfc*DiffE,(R51*Ze-((Wfc-Wwp)*Ze-Z51-AA51)*P51)/(P51+Ze)-AA51))</f>
        <v>0</v>
      </c>
      <c r="AF51" s="39">
        <f ca="1">IF(((S51-AB51)/Q51-(R51-AA51)/P51)/Wfc*DiffR&lt;0,MAX(((S51-AB51)/Q51-(R51-AA51)/P51)/Wfc*DiffR,(S51*P51-(R51-AA51-AB51)*Q51)/(P51+Q51)-AB51),MIN(((S51-AB51)/Q51-(R51-AA51)/P51)/Wfc*DiffR,(S51*P51-(R51-AA51-AB51)*Q51)/(P51+Q51)-AB51))</f>
        <v>-1.17546352399139e-8</v>
      </c>
      <c r="AG51" s="99">
        <f ca="1">MIN(MAX(Y51+IF(AU51&gt;0,B51*AZ51/AU51,0)+BE51-AD51,0),TEW)</f>
        <v>0.441991951786109</v>
      </c>
      <c r="AH51" s="99">
        <f ca="1">MIN(MAX(Z51+IF(AV51&gt;0,B51*BA51/AV51,0)+BF51-AE51,0),TEW)</f>
        <v>0.284051980754869</v>
      </c>
      <c r="AI51" s="99">
        <f ca="1" t="shared" si="1"/>
        <v>0.592593229464178</v>
      </c>
      <c r="AJ51" s="99">
        <f ca="1" t="shared" si="2"/>
        <v>1.37527264806976</v>
      </c>
      <c r="AK51" s="70">
        <f ca="1">IF((AU51+AV51)&gt;0,(TEW-(AG51*AU51+AH51*AV51)/(AU51+AV51))/TEW,(TEW-(AG51+AH51)/2)/TEW)</f>
        <v>0.986656846738533</v>
      </c>
      <c r="AL51" s="70">
        <f ca="1" t="shared" si="3"/>
        <v>0.985816082434346</v>
      </c>
      <c r="AM51" s="70">
        <f ca="1" t="shared" si="4"/>
        <v>0.963831891878629</v>
      </c>
      <c r="AN51" s="70">
        <f ca="1">Wwp+(Wfc-Wwp)*IF((AU51+AV51)&gt;0,(TEW-(AG51*AU51+AH51*AV51)/(AU51+AV51))/TEW,(TEW-(AG51+AH51)/2)/TEW)</f>
        <v>0.398265390076009</v>
      </c>
      <c r="AO51" s="70">
        <f ca="1">Wwp+(Wfc-Wwp)*(R51-AI51)/R51</f>
        <v>0.398156090716465</v>
      </c>
      <c r="AP51" s="70">
        <f ca="1">Wwp+(Wfc-Wwp)*(S51-AJ51)/S51</f>
        <v>0.395298145944222</v>
      </c>
      <c r="AQ51" s="70"/>
      <c r="AR51" s="70"/>
      <c r="AS51" s="70"/>
      <c r="AT51" s="70"/>
      <c r="AU51" s="70">
        <f ca="1">MIN((1-G51),fw)</f>
        <v>0.582666666666667</v>
      </c>
      <c r="AV51" s="70">
        <f ca="1" t="shared" si="5"/>
        <v>0</v>
      </c>
      <c r="AW51" s="70">
        <f ca="1">MIN((TEW-Y51)/(TEW-REW),1)</f>
        <v>0.12727820001996</v>
      </c>
      <c r="AX51" s="70">
        <f ca="1">MIN((TEW-Z51)/(TEW-REW),1)</f>
        <v>0.12727820001996</v>
      </c>
      <c r="AY51" s="70">
        <f ca="1">IF((AU51*(TEW-Y51))&gt;0,1/(1+((AV51*(TEW-Z51))/(AU51*(TEW-Y51)))),0)</f>
        <v>1</v>
      </c>
      <c r="AZ51" s="70">
        <f ca="1">MIN((AY51*AW51*(Kcmax-H51)),AU51*Kcmax)</f>
        <v>0.0864909365171077</v>
      </c>
      <c r="BA51" s="70">
        <f ca="1">MIN(((1-AY51)*AX51*(Kcmax-H51)),AV51*Kcmax)</f>
        <v>0</v>
      </c>
      <c r="BB51" s="70">
        <f ca="1" t="shared" si="6"/>
        <v>0.0920263564542026</v>
      </c>
      <c r="BC51" s="70">
        <f ca="1">MIN((R51-AA51)/(R51*(1-(p+0.04*(5-I50)))),1)</f>
        <v>1</v>
      </c>
      <c r="BD51" s="10">
        <f ca="1" t="shared" si="7"/>
        <v>0.50056686125534</v>
      </c>
      <c r="BE51" s="70">
        <f ca="1">MIN(IF((1-AA51/R51)&gt;0,(1-Y51/TEW)/(1-AA51/R51)*(Ze/P51)^0.6,0),1)*BC51*H51*B51</f>
        <v>0.284051980754869</v>
      </c>
      <c r="BF51" s="70">
        <f ca="1">MIN(IF((1-AA51/R51)&gt;0,(1-Z51/TEW)/(1-AA51/R51)*(Ze/P51)^0.6,0),1)*BC51*H51*B51</f>
        <v>0.284051980754869</v>
      </c>
      <c r="BG51"/>
      <c r="BH51" s="10">
        <f ca="1" t="shared" si="8"/>
        <v>0.0646810948870886</v>
      </c>
      <c r="BI51" s="10">
        <f ca="1">IF(F51&lt;&gt;"",(Moy_Etobs-F51)^2,"")</f>
        <v>0.580574770710223</v>
      </c>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c r="A52" s="38">
        <v>39045</v>
      </c>
      <c r="B52" s="10">
        <v>0.986</v>
      </c>
      <c r="C52" s="39">
        <v>0.198</v>
      </c>
      <c r="D52">
        <v>0.466</v>
      </c>
      <c r="E52" s="39">
        <v>0</v>
      </c>
      <c r="F52" s="10">
        <v>0.878787</v>
      </c>
      <c r="G52" s="10">
        <f ca="1">MIN(MAX(IF(AND(Durpla&gt;ROW()-MATCH(NDVImax,INDEX(D:D,Lig_min,1):INDEX(D:D,Lig_max,1),0)-Lig_min+1,ROW()-MATCH(NDVImax,INDEX(D:D,Lig_min,1):INDEX(D:D,Lig_max,1),0)-Lig_min+1&gt;0,D52*a_fc+b_fc&gt;fc_fin),NDVImax*a_fc+b_fc,D52*a_fc+b_fc),0),1)</f>
        <v>0.421333333333333</v>
      </c>
      <c r="H52" s="55">
        <f>MIN(MAX(D52*a_kcb+b_kcb,0),Kcmax)</f>
        <v>0.474966754416054</v>
      </c>
      <c r="I52" s="70">
        <f ca="1" t="shared" si="0"/>
        <v>0.552407410824501</v>
      </c>
      <c r="J52"/>
      <c r="K52"/>
      <c r="L52"/>
      <c r="M52"/>
      <c r="N52"/>
      <c r="O52" s="55"/>
      <c r="P52" s="35">
        <f ca="1">IF(ROW()-MATCH(NDVImax,INDEX(D:D,Lig_min,1):INDEX(D:D,Lig_max,1),0)-Lig_min+1&gt;0,MAX(MIN(Zr_min+MAX(INDEX(G:G,Lig_min,1):INDEX(G:G,Lig_max,1))/MAX(MAX(INDEX(G:G,Lig_min,1):INDEX(G:G,Lig_max,1)),Max_fc_pour_Zrmax)*(Zr_max-Zr_min),Zr_max),Ze+0.001),MAX(MIN(Zr_min+G52/MAX(MAX(INDEX(G:G,Lig_min,1):INDEX(G:G,Lig_max,1)),Max_fc_pour_Zrmax)*(Zr_max-Zr_min),Zr_max),Ze+0.001))</f>
        <v>323.260957362695</v>
      </c>
      <c r="Q52" s="35">
        <f ca="1">IF(Z_sol&gt;0,Z_sol-P52,0.1)</f>
        <v>290.613593701739</v>
      </c>
      <c r="R52" s="35">
        <f ca="1">(Wfc-Wwp)*P52</f>
        <v>42.0239244571503</v>
      </c>
      <c r="S52" s="35">
        <f ca="1">(Wfc-Wwp)*Q52</f>
        <v>37.7797671812261</v>
      </c>
      <c r="T52" s="99">
        <f ca="1" t="shared" si="9"/>
        <v>0.441991951786109</v>
      </c>
      <c r="U52" s="99">
        <f ca="1" t="shared" si="10"/>
        <v>0.284051980754869</v>
      </c>
      <c r="V52" s="99">
        <f ca="1">IF(P52&gt;P51,IF(Q52&gt;1,MAX(AI51+(Wfc-Wwp)*(P52-P51)*AJ51/S51,0),AI51/P51*P52),MAX(AI51+(Wfc-Wwp)*(P52-P51)*AI51/R51,0))</f>
        <v>0.601443173323148</v>
      </c>
      <c r="W52" s="99">
        <f ca="1">IF(S52&gt;1,IF(P52&gt;P51,MAX(AJ51-(Wfc-Wwp)*(P52-P51)*AJ51/S51,0),MAX(AJ51-(Wfc-Wwp)*(P52-P51)*AI51/R51,0)),0)</f>
        <v>1.36642270421079</v>
      </c>
      <c r="X52" s="99">
        <f ca="1">IF(AND(OR(AND(dec_vide_TAW&lt;0,V52&gt;R52*(p+0.04*(5-I51))),AND(dec_vide_TAW&gt;0,V52&gt;R52*dec_vide_TAW)),H52&gt;MAX(INDEX(H:H,Lig_min,1):INDEX(H:H,ROW(X52),1))*Kcbmax_stop_irrig*IF(ROW(X52)-lig_kcbmax&gt;0,1,0),MIN(INDEX(H:H,ROW(X52),1):INDEX(H:H,lig_kcbmax,1))&gt;Kcbmin_start_irrig),MIN(MAX(V52-E52*Irri_man-C52,0),Lame_max),0)</f>
        <v>0</v>
      </c>
      <c r="Y52" s="99">
        <f ca="1">MIN(MAX(T52-C52-IF(fw&gt;0,X52/fw*Irri_auto+E52/fw*Irri_man,0),0),TEW)</f>
        <v>0.243991951786109</v>
      </c>
      <c r="Z52" s="99">
        <f ca="1">MIN(MAX(U52-C52,0),TEW)</f>
        <v>0.0860519807548693</v>
      </c>
      <c r="AA52" s="99">
        <f ca="1">MIN(MAX(V52-C52-(X52*Irri_auto+E52*Irri_man),0),R52)</f>
        <v>0.403443173323148</v>
      </c>
      <c r="AB52" s="99">
        <f ca="1">MIN(MAX(W52+MIN(V52-C52-(X52*Irri_auto+E52*Irri_man),0),0),S52)</f>
        <v>1.36642270421079</v>
      </c>
      <c r="AC52" s="99">
        <f ca="1">-MIN(W52+MIN(V52-C52-(X52*Irri_auto+E52*Irri_man),0),0)</f>
        <v>0</v>
      </c>
      <c r="AD52" s="39">
        <f ca="1">IF(((R52-AA52)/P52-((Wfc-Wwp)*Ze-Y52)/Ze)/Wfc*DiffE&lt;0,MAX(((R52-AA52)/P52-((Wfc-Wwp)*Ze-Y52)/Ze)/Wfc*DiffE,(R52*Ze-((Wfc-Wwp)*Ze-Y52-AA52)*P52)/(P52+Ze)-AA52),MIN(((R52-AA52)/P52-((Wfc-Wwp)*Ze-Y52)/Ze)/Wfc*DiffE,(R52*Ze-((Wfc-Wwp)*Ze-Y52-AA52)*P52)/(P52+Ze)-AA52))</f>
        <v>1.75973464224224e-9</v>
      </c>
      <c r="AE52" s="39">
        <f ca="1">IF(((R52-AA52)/P52-((Wfc-Wwp)*Ze-Z52)/Ze)/Wfc*DiffE&lt;0,MAX(((R52-AA52)/P52-((Wfc-Wwp)*Ze-Z52)/Ze)/Wfc*DiffE,(R52*Ze-((Wfc-Wwp)*Ze-Z52-AA52)*P52)/(P52+Ze)-AA52),MIN(((R52-AA52)/P52-((Wfc-Wwp)*Ze-Z52)/Ze)/Wfc*DiffE,(R52*Ze-((Wfc-Wwp)*Ze-Z52-AA52)*P52)/(P52+Ze)-AA52))</f>
        <v>-1.39906477838257e-9</v>
      </c>
      <c r="AF52" s="39">
        <f ca="1">IF(((S52-AB52)/Q52-(R52-AA52)/P52)/Wfc*DiffR&lt;0,MAX(((S52-AB52)/Q52-(R52-AA52)/P52)/Wfc*DiffR,(S52*P52-(R52-AA52-AB52)*Q52)/(P52+Q52)-AB52),MIN(((S52-AB52)/Q52-(R52-AA52)/P52)/Wfc*DiffR,(S52*P52-(R52-AA52-AB52)*Q52)/(P52+Q52)-AB52))</f>
        <v>-8.63453074596544e-9</v>
      </c>
      <c r="AG52" s="99">
        <f ca="1">MIN(MAX(Y52+IF(AU52&gt;0,B52*AZ52/AU52,0)+BE52-AD52,0),TEW)</f>
        <v>0.654728661933292</v>
      </c>
      <c r="AH52" s="99">
        <f ca="1">MIN(MAX(Z52+IF(AV52&gt;0,B52*BA52/AV52,0)+BF52-AE52,0),TEW)</f>
        <v>0.352746454736814</v>
      </c>
      <c r="AI52" s="99">
        <f ca="1" t="shared" si="1"/>
        <v>0.95585059278218</v>
      </c>
      <c r="AJ52" s="99">
        <f ca="1" t="shared" si="2"/>
        <v>1.36642269557626</v>
      </c>
      <c r="AK52" s="70">
        <f ca="1">IF((AU52+AV52)&gt;0,(TEW-(AG52*AU52+AH52*AV52)/(AU52+AV52))/TEW,(TEW-(AG52+AH52)/2)/TEW)</f>
        <v>0.980234606432203</v>
      </c>
      <c r="AL52" s="70">
        <f ca="1" t="shared" si="3"/>
        <v>0.977254609008333</v>
      </c>
      <c r="AM52" s="70">
        <f ca="1" t="shared" si="4"/>
        <v>0.963831892107179</v>
      </c>
      <c r="AN52" s="70">
        <f ca="1">Wwp+(Wfc-Wwp)*IF((AU52+AV52)&gt;0,(TEW-(AG52*AU52+AH52*AV52)/(AU52+AV52))/TEW,(TEW-(AG52+AH52)/2)/TEW)</f>
        <v>0.397430498836186</v>
      </c>
      <c r="AO52" s="70">
        <f ca="1">Wwp+(Wfc-Wwp)*(R52-AI52)/R52</f>
        <v>0.397043099171083</v>
      </c>
      <c r="AP52" s="70">
        <f ca="1">Wwp+(Wfc-Wwp)*(S52-AJ52)/S52</f>
        <v>0.395298145973933</v>
      </c>
      <c r="AQ52" s="70"/>
      <c r="AR52" s="70"/>
      <c r="AS52" s="70"/>
      <c r="AT52" s="70"/>
      <c r="AU52" s="70">
        <f ca="1">MIN((1-G52),fw)</f>
        <v>0.578666666666667</v>
      </c>
      <c r="AV52" s="70">
        <f ca="1" t="shared" si="5"/>
        <v>0</v>
      </c>
      <c r="AW52" s="70">
        <f ca="1">MIN((TEW-Y52)/(TEW-REW),1)</f>
        <v>0.126340694919804</v>
      </c>
      <c r="AX52" s="70">
        <f ca="1">MIN((TEW-Z52)/(TEW-REW),1)</f>
        <v>0.12694755726619</v>
      </c>
      <c r="AY52" s="70">
        <f ca="1">IF((AU52*(TEW-Y52))&gt;0,1/(1+((AV52*(TEW-Z52))/(AU52*(TEW-Y52)))),0)</f>
        <v>1</v>
      </c>
      <c r="AZ52" s="70">
        <f ca="1">MIN((AY52*AW52*(Kcmax-H52)),AU52*Kcmax)</f>
        <v>0.0852841693410461</v>
      </c>
      <c r="BA52" s="70">
        <f ca="1">MIN(((1-AY52)*AX52*(Kcmax-H52)),AV52*Kcmax)</f>
        <v>0</v>
      </c>
      <c r="BB52" s="70">
        <f ca="1" t="shared" si="6"/>
        <v>0.0840901909702715</v>
      </c>
      <c r="BC52" s="70">
        <f ca="1">MIN((R52-AA52)/(R52*(1-(p+0.04*(5-I51)))),1)</f>
        <v>1</v>
      </c>
      <c r="BD52" s="10">
        <f ca="1" t="shared" si="7"/>
        <v>0.46831721985423</v>
      </c>
      <c r="BE52" s="70">
        <f ca="1">MIN(IF((1-AA52/R52)&gt;0,(1-Y52/TEW)/(1-AA52/R52)*(Ze/P52)^0.6,0),1)*BC52*H52*B52</f>
        <v>0.265419561612669</v>
      </c>
      <c r="BF52" s="70">
        <f ca="1">MIN(IF((1-AA52/R52)&gt;0,(1-Z52/TEW)/(1-AA52/R52)*(Ze/P52)^0.6,0),1)*BC52*H52*B52</f>
        <v>0.266694472582879</v>
      </c>
      <c r="BG52"/>
      <c r="BH52" s="10">
        <f ca="1" t="shared" si="8"/>
        <v>0.106523636230368</v>
      </c>
      <c r="BI52" s="10">
        <f ca="1">IF(F52&lt;&gt;"",(Moy_Etobs-F52)^2,"")</f>
        <v>0.53302494332267</v>
      </c>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c r="A53" s="38">
        <v>39046</v>
      </c>
      <c r="B53" s="10">
        <v>1.313</v>
      </c>
      <c r="C53" s="39">
        <v>0</v>
      </c>
      <c r="D53">
        <v>0.469</v>
      </c>
      <c r="E53" s="39">
        <v>0</v>
      </c>
      <c r="F53" s="10">
        <v>0.763452</v>
      </c>
      <c r="G53" s="10">
        <f ca="1">MIN(MAX(IF(AND(Durpla&gt;ROW()-MATCH(NDVImax,INDEX(D:D,Lig_min,1):INDEX(D:D,Lig_max,1),0)-Lig_min+1,ROW()-MATCH(NDVImax,INDEX(D:D,Lig_min,1):INDEX(D:D,Lig_max,1),0)-Lig_min+1&gt;0,D53*a_fc+b_fc&gt;fc_fin),NDVImax*a_fc+b_fc,D53*a_fc+b_fc),0),1)</f>
        <v>0.425333333333333</v>
      </c>
      <c r="H53" s="55">
        <f>MIN(MAX(D53*a_kcb+b_kcb,0),Kcmax)</f>
        <v>0.479475932464308</v>
      </c>
      <c r="I53" s="70">
        <f ca="1" t="shared" si="0"/>
        <v>0.739392564107039</v>
      </c>
      <c r="J53"/>
      <c r="K53"/>
      <c r="L53"/>
      <c r="M53"/>
      <c r="N53"/>
      <c r="O53" s="55"/>
      <c r="P53" s="35">
        <f ca="1">IF(ROW()-MATCH(NDVImax,INDEX(D:D,Lig_min,1):INDEX(D:D,Lig_max,1),0)-Lig_min+1&gt;0,MAX(MIN(Zr_min+MAX(INDEX(G:G,Lig_min,1):INDEX(G:G,Lig_max,1))/MAX(MAX(INDEX(G:G,Lig_min,1):INDEX(G:G,Lig_max,1)),Max_fc_pour_Zrmax)*(Zr_max-Zr_min),Zr_max),Ze+0.001),MAX(MIN(Zr_min+G53/MAX(MAX(INDEX(G:G,Lig_min,1):INDEX(G:G,Lig_max,1)),Max_fc_pour_Zrmax)*(Zr_max-Zr_min),Zr_max),Ze+0.001))</f>
        <v>325.143181641454</v>
      </c>
      <c r="Q53" s="35">
        <f ca="1">IF(Z_sol&gt;0,Z_sol-P53,0.1)</f>
        <v>288.73136942298</v>
      </c>
      <c r="R53" s="35">
        <f ca="1">(Wfc-Wwp)*P53</f>
        <v>42.2686136133891</v>
      </c>
      <c r="S53" s="35">
        <f ca="1">(Wfc-Wwp)*Q53</f>
        <v>37.5350780249873</v>
      </c>
      <c r="T53" s="99">
        <f ca="1" t="shared" si="9"/>
        <v>0.654728661933292</v>
      </c>
      <c r="U53" s="99">
        <f ca="1" t="shared" si="10"/>
        <v>0.352746454736814</v>
      </c>
      <c r="V53" s="99">
        <f ca="1">IF(P53&gt;P52,IF(Q53&gt;1,MAX(AI52+(Wfc-Wwp)*(P53-P52)*AJ52/S52,0),AI52/P52*P53),MAX(AI52+(Wfc-Wwp)*(P53-P52)*AI52/R52,0))</f>
        <v>0.964700536585227</v>
      </c>
      <c r="W53" s="99">
        <f ca="1">IF(S53&gt;1,IF(P53&gt;P52,MAX(AJ52-(Wfc-Wwp)*(P53-P52)*AJ52/S52,0),MAX(AJ52-(Wfc-Wwp)*(P53-P52)*AI52/R52,0)),0)</f>
        <v>1.35757275177321</v>
      </c>
      <c r="X53" s="99">
        <f ca="1">IF(AND(OR(AND(dec_vide_TAW&lt;0,V53&gt;R53*(p+0.04*(5-I52))),AND(dec_vide_TAW&gt;0,V53&gt;R53*dec_vide_TAW)),H53&gt;MAX(INDEX(H:H,Lig_min,1):INDEX(H:H,ROW(X53),1))*Kcbmax_stop_irrig*IF(ROW(X53)-lig_kcbmax&gt;0,1,0),MIN(INDEX(H:H,ROW(X53),1):INDEX(H:H,lig_kcbmax,1))&gt;Kcbmin_start_irrig),MIN(MAX(V53-E53*Irri_man-C53,0),Lame_max),0)</f>
        <v>0</v>
      </c>
      <c r="Y53" s="99">
        <f ca="1">MIN(MAX(T53-C53-IF(fw&gt;0,X53/fw*Irri_auto+E53/fw*Irri_man,0),0),TEW)</f>
        <v>0.654728661933292</v>
      </c>
      <c r="Z53" s="99">
        <f ca="1">MIN(MAX(U53-C53,0),TEW)</f>
        <v>0.352746454736814</v>
      </c>
      <c r="AA53" s="99">
        <f ca="1">MIN(MAX(V53-C53-(X53*Irri_auto+E53*Irri_man),0),R53)</f>
        <v>0.964700536585227</v>
      </c>
      <c r="AB53" s="99">
        <f ca="1">MIN(MAX(W53+MIN(V53-C53-(X53*Irri_auto+E53*Irri_man),0),0),S53)</f>
        <v>1.35757275177321</v>
      </c>
      <c r="AC53" s="99">
        <f ca="1">-MIN(W53+MIN(V53-C53-(X53*Irri_auto+E53*Irri_man),0),0)</f>
        <v>0</v>
      </c>
      <c r="AD53" s="39">
        <f ca="1">IF(((R53-AA53)/P53-((Wfc-Wwp)*Ze-Y53)/Ze)/Wfc*DiffE&lt;0,MAX(((R53-AA53)/P53-((Wfc-Wwp)*Ze-Y53)/Ze)/Wfc*DiffE,(R53*Ze-((Wfc-Wwp)*Ze-Y53-AA53)*P53)/(P53+Ze)-AA53),MIN(((R53-AA53)/P53-((Wfc-Wwp)*Ze-Y53)/Ze)/Wfc*DiffE,(R53*Ze-((Wfc-Wwp)*Ze-Y53-AA53)*P53)/(P53+Ze)-AA53))</f>
        <v>5.67706772836247e-9</v>
      </c>
      <c r="AE53" s="39">
        <f ca="1">IF(((R53-AA53)/P53-((Wfc-Wwp)*Ze-Z53)/Ze)/Wfc*DiffE&lt;0,MAX(((R53-AA53)/P53-((Wfc-Wwp)*Ze-Z53)/Ze)/Wfc*DiffE,(R53*Ze-((Wfc-Wwp)*Ze-Z53-AA53)*P53)/(P53+Ze)-AA53),MIN(((R53-AA53)/P53-((Wfc-Wwp)*Ze-Z53)/Ze)/Wfc*DiffE,(R53*Ze-((Wfc-Wwp)*Ze-Z53-AA53)*P53)/(P53+Ze)-AA53))</f>
        <v>-3.62576415567084e-10</v>
      </c>
      <c r="AF53" s="39">
        <f ca="1">IF(((S53-AB53)/Q53-(R53-AA53)/P53)/Wfc*DiffR&lt;0,MAX(((S53-AB53)/Q53-(R53-AA53)/P53)/Wfc*DiffR,(S53*P53-(R53-AA53-AB53)*Q53)/(P53+Q53)-AB53),MIN(((S53-AB53)/Q53-(R53-AA53)/P53)/Wfc*DiffR,(S53*P53-(R53-AA53-AB53)*Q53)/(P53+Q53)-AB53))</f>
        <v>-4.33712955486353e-9</v>
      </c>
      <c r="AG53" s="99">
        <f ca="1">MIN(MAX(Y53+IF(AU53&gt;0,B53*AZ53/AU53,0)+BE53-AD53,0),TEW)</f>
        <v>1.20173524017509</v>
      </c>
      <c r="AH53" s="99">
        <f ca="1">MIN(MAX(Z53+IF(AV53&gt;0,B53*BA53/AV53,0)+BF53-AE53,0),TEW)</f>
        <v>0.711924663813455</v>
      </c>
      <c r="AI53" s="99">
        <f ca="1" t="shared" si="1"/>
        <v>1.7040931050294</v>
      </c>
      <c r="AJ53" s="99">
        <f ca="1" t="shared" si="2"/>
        <v>1.35757274743609</v>
      </c>
      <c r="AK53" s="70">
        <f ca="1">IF((AU53+AV53)&gt;0,(TEW-(AG53*AU53+AH53*AV53)/(AU53+AV53))/TEW,(TEW-(AG53+AH53)/2)/TEW)</f>
        <v>0.963721200296601</v>
      </c>
      <c r="AL53" s="70">
        <f ca="1" t="shared" si="3"/>
        <v>0.95968419686967</v>
      </c>
      <c r="AM53" s="70">
        <f ca="1" t="shared" si="4"/>
        <v>0.963831892222727</v>
      </c>
      <c r="AN53" s="70">
        <f ca="1">Wwp+(Wfc-Wwp)*IF((AU53+AV53)&gt;0,(TEW-(AG53*AU53+AH53*AV53)/(AU53+AV53))/TEW,(TEW-(AG53+AH53)/2)/TEW)</f>
        <v>0.395283756038558</v>
      </c>
      <c r="AO53" s="70">
        <f ca="1">Wwp+(Wfc-Wwp)*(R53-AI53)/R53</f>
        <v>0.394758945593057</v>
      </c>
      <c r="AP53" s="70">
        <f ca="1">Wwp+(Wfc-Wwp)*(S53-AJ53)/S53</f>
        <v>0.395298145988955</v>
      </c>
      <c r="AQ53" s="70"/>
      <c r="AR53" s="70"/>
      <c r="AS53" s="70"/>
      <c r="AT53" s="70"/>
      <c r="AU53" s="70">
        <f ca="1">MIN((1-G53),fw)</f>
        <v>0.574666666666667</v>
      </c>
      <c r="AV53" s="70">
        <f ca="1" t="shared" si="5"/>
        <v>0</v>
      </c>
      <c r="AW53" s="70">
        <f ca="1">MIN((TEW-Y53)/(TEW-REW),1)</f>
        <v>0.124762496303965</v>
      </c>
      <c r="AX53" s="70">
        <f ca="1">MIN((TEW-Z53)/(TEW-REW),1)</f>
        <v>0.125922820885701</v>
      </c>
      <c r="AY53" s="70">
        <f ca="1">IF((AU53*(TEW-Y53))&gt;0,1/(1+((AV53*(TEW-Z53))/(AU53*(TEW-Y53)))),0)</f>
        <v>1</v>
      </c>
      <c r="AZ53" s="70">
        <f ca="1">MIN((AY53*AW53*(Kcmax-H53)),AU53*Kcmax)</f>
        <v>0.0836562564976413</v>
      </c>
      <c r="BA53" s="70">
        <f ca="1">MIN(((1-AY53)*AX53*(Kcmax-H53)),AV53*Kcmax)</f>
        <v>0</v>
      </c>
      <c r="BB53" s="70">
        <f ca="1" t="shared" si="6"/>
        <v>0.109840664781403</v>
      </c>
      <c r="BC53" s="70">
        <f ca="1">MIN((R53-AA53)/(R53*(1-(p+0.04*(5-I52)))),1)</f>
        <v>1</v>
      </c>
      <c r="BD53" s="10">
        <f ca="1" t="shared" si="7"/>
        <v>0.629551899325636</v>
      </c>
      <c r="BE53" s="70">
        <f ca="1">MIN(IF((1-AA53/R53)&gt;0,(1-Y53/TEW)/(1-AA53/R53)*(Ze/P53)^0.6,0),1)*BC53*H53*B53</f>
        <v>0.355868536155401</v>
      </c>
      <c r="BF53" s="70">
        <f ca="1">MIN(IF((1-AA53/R53)&gt;0,(1-Z53/TEW)/(1-AA53/R53)*(Ze/P53)^0.6,0),1)*BC53*H53*B53</f>
        <v>0.359178208714065</v>
      </c>
      <c r="BG53"/>
      <c r="BH53" s="10">
        <f ca="1" t="shared" si="8"/>
        <v>0.000578856455487489</v>
      </c>
      <c r="BI53" s="10">
        <f ca="1">IF(F53&lt;&gt;"",(Moy_Etobs-F53)^2,"")</f>
        <v>0.714735944579944</v>
      </c>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c r="A54" s="38">
        <v>39047</v>
      </c>
      <c r="B54" s="10">
        <v>0.678</v>
      </c>
      <c r="C54" s="39">
        <v>0</v>
      </c>
      <c r="D54">
        <v>0.472</v>
      </c>
      <c r="E54" s="39">
        <v>0</v>
      </c>
      <c r="F54" s="10">
        <v>0.489825</v>
      </c>
      <c r="G54" s="10">
        <f ca="1">MIN(MAX(IF(AND(Durpla&gt;ROW()-MATCH(NDVImax,INDEX(D:D,Lig_min,1):INDEX(D:D,Lig_max,1),0)-Lig_min+1,ROW()-MATCH(NDVImax,INDEX(D:D,Lig_min,1):INDEX(D:D,Lig_max,1),0)-Lig_min+1&gt;0,D54*a_fc+b_fc&gt;fc_fin),NDVImax*a_fc+b_fc,D54*a_fc+b_fc),0),1)</f>
        <v>0.429333333333333</v>
      </c>
      <c r="H54" s="55">
        <f>MIN(MAX(D54*a_kcb+b_kcb,0),Kcmax)</f>
        <v>0.483985110512562</v>
      </c>
      <c r="I54" s="70">
        <f ca="1" t="shared" si="0"/>
        <v>0.383530336821971</v>
      </c>
      <c r="J54"/>
      <c r="K54"/>
      <c r="L54"/>
      <c r="M54"/>
      <c r="N54"/>
      <c r="O54" s="55"/>
      <c r="P54" s="35">
        <f ca="1">IF(ROW()-MATCH(NDVImax,INDEX(D:D,Lig_min,1):INDEX(D:D,Lig_max,1),0)-Lig_min+1&gt;0,MAX(MIN(Zr_min+MAX(INDEX(G:G,Lig_min,1):INDEX(G:G,Lig_max,1))/MAX(MAX(INDEX(G:G,Lig_min,1):INDEX(G:G,Lig_max,1)),Max_fc_pour_Zrmax)*(Zr_max-Zr_min),Zr_max),Ze+0.001),MAX(MIN(Zr_min+G54/MAX(MAX(INDEX(G:G,Lig_min,1):INDEX(G:G,Lig_max,1)),Max_fc_pour_Zrmax)*(Zr_max-Zr_min),Zr_max),Ze+0.001))</f>
        <v>327.025405920214</v>
      </c>
      <c r="Q54" s="35">
        <f ca="1">IF(Z_sol&gt;0,Z_sol-P54,0.1)</f>
        <v>286.84914514422</v>
      </c>
      <c r="R54" s="35">
        <f ca="1">(Wfc-Wwp)*P54</f>
        <v>42.5133027696279</v>
      </c>
      <c r="S54" s="35">
        <f ca="1">(Wfc-Wwp)*Q54</f>
        <v>37.2903888687486</v>
      </c>
      <c r="T54" s="99">
        <f ca="1" t="shared" si="9"/>
        <v>1.20173524017509</v>
      </c>
      <c r="U54" s="99">
        <f ca="1" t="shared" si="10"/>
        <v>0.711924663813455</v>
      </c>
      <c r="V54" s="99">
        <f ca="1">IF(P54&gt;P53,IF(Q54&gt;1,MAX(AI53+(Wfc-Wwp)*(P54-P53)*AJ53/S53,0),AI53/P53*P54),MAX(AI53+(Wfc-Wwp)*(P54-P53)*AI53/R53,0))</f>
        <v>1.71294304880417</v>
      </c>
      <c r="W54" s="99">
        <f ca="1">IF(S54&gt;1,IF(P54&gt;P53,MAX(AJ53-(Wfc-Wwp)*(P54-P53)*AJ53/S53,0),MAX(AJ53-(Wfc-Wwp)*(P54-P53)*AI53/R53,0)),0)</f>
        <v>1.34872280366131</v>
      </c>
      <c r="X54" s="99">
        <f ca="1">IF(AND(OR(AND(dec_vide_TAW&lt;0,V54&gt;R54*(p+0.04*(5-I53))),AND(dec_vide_TAW&gt;0,V54&gt;R54*dec_vide_TAW)),H54&gt;MAX(INDEX(H:H,Lig_min,1):INDEX(H:H,ROW(X54),1))*Kcbmax_stop_irrig*IF(ROW(X54)-lig_kcbmax&gt;0,1,0),MIN(INDEX(H:H,ROW(X54),1):INDEX(H:H,lig_kcbmax,1))&gt;Kcbmin_start_irrig),MIN(MAX(V54-E54*Irri_man-C54,0),Lame_max),0)</f>
        <v>0</v>
      </c>
      <c r="Y54" s="99">
        <f ca="1">MIN(MAX(T54-C54-IF(fw&gt;0,X54/fw*Irri_auto+E54/fw*Irri_man,0),0),TEW)</f>
        <v>1.20173524017509</v>
      </c>
      <c r="Z54" s="99">
        <f ca="1">MIN(MAX(U54-C54,0),TEW)</f>
        <v>0.711924663813455</v>
      </c>
      <c r="AA54" s="99">
        <f ca="1">MIN(MAX(V54-C54-(X54*Irri_auto+E54*Irri_man),0),R54)</f>
        <v>1.71294304880417</v>
      </c>
      <c r="AB54" s="99">
        <f ca="1">MIN(MAX(W54+MIN(V54-C54-(X54*Irri_auto+E54*Irri_man),0),0),S54)</f>
        <v>1.34872280366131</v>
      </c>
      <c r="AC54" s="99">
        <f ca="1">-MIN(W54+MIN(V54-C54-(X54*Irri_auto+E54*Irri_man),0),0)</f>
        <v>0</v>
      </c>
      <c r="AD54" s="39">
        <f ca="1">IF(((R54-AA54)/P54-((Wfc-Wwp)*Ze-Y54)/Ze)/Wfc*DiffE&lt;0,MAX(((R54-AA54)/P54-((Wfc-Wwp)*Ze-Y54)/Ze)/Wfc*DiffE,(R54*Ze-((Wfc-Wwp)*Ze-Y54-AA54)*P54)/(P54+Ze)-AA54),MIN(((R54-AA54)/P54-((Wfc-Wwp)*Ze-Y54)/Ze)/Wfc*DiffE,(R54*Ze-((Wfc-Wwp)*Ze-Y54-AA54)*P54)/(P54+Ze)-AA54))</f>
        <v>1.09398273276667e-8</v>
      </c>
      <c r="AE54" s="39">
        <f ca="1">IF(((R54-AA54)/P54-((Wfc-Wwp)*Ze-Z54)/Ze)/Wfc*DiffE&lt;0,MAX(((R54-AA54)/P54-((Wfc-Wwp)*Ze-Z54)/Ze)/Wfc*DiffE,(R54*Ze-((Wfc-Wwp)*Ze-Z54-AA54)*P54)/(P54+Ze)-AA54),MIN(((R54-AA54)/P54-((Wfc-Wwp)*Ze-Z54)/Ze)/Wfc*DiffE,(R54*Ze-((Wfc-Wwp)*Ze-Z54-AA54)*P54)/(P54+Ze)-AA54))</f>
        <v>1.14361580043409e-9</v>
      </c>
      <c r="AF54" s="39">
        <f ca="1">IF(((S54-AB54)/Q54-(R54-AA54)/P54)/Wfc*DiffR&lt;0,MAX(((S54-AB54)/Q54-(R54-AA54)/P54)/Wfc*DiffR,(S54*P54-(R54-AA54-AB54)*Q54)/(P54+Q54)-AB54),MIN(((S54-AB54)/Q54-(R54-AA54)/P54)/Wfc*DiffR,(S54*P54-(R54-AA54-AB54)*Q54)/(P54+Q54)-AB54))</f>
        <v>1.34024244822135e-9</v>
      </c>
      <c r="AG54" s="99">
        <f ca="1">MIN(MAX(Y54+IF(AU54&gt;0,B54*AZ54/AU54,0)+BE54-AD54,0),TEW)</f>
        <v>1.48383672081604</v>
      </c>
      <c r="AH54" s="99">
        <f ca="1">MIN(MAX(Z54+IF(AV54&gt;0,B54*BA54/AV54,0)+BF54-AE54,0),TEW)</f>
        <v>0.899806159705176</v>
      </c>
      <c r="AI54" s="99">
        <f ca="1" t="shared" si="1"/>
        <v>2.0964733842859</v>
      </c>
      <c r="AJ54" s="99">
        <f ca="1" t="shared" si="2"/>
        <v>1.34872280500155</v>
      </c>
      <c r="AK54" s="70">
        <f ca="1">IF((AU54+AV54)&gt;0,(TEW-(AG54*AU54+AH54*AV54)/(AU54+AV54))/TEW,(TEW-(AG54+AH54)/2)/TEW)</f>
        <v>0.955204929182912</v>
      </c>
      <c r="AL54" s="70">
        <f ca="1" t="shared" si="3"/>
        <v>0.950686649878832</v>
      </c>
      <c r="AM54" s="70">
        <f ca="1" t="shared" si="4"/>
        <v>0.963831892186787</v>
      </c>
      <c r="AN54" s="70">
        <f ca="1">Wwp+(Wfc-Wwp)*IF((AU54+AV54)&gt;0,(TEW-(AG54*AU54+AH54*AV54)/(AU54+AV54))/TEW,(TEW-(AG54+AH54)/2)/TEW)</f>
        <v>0.394176640793779</v>
      </c>
      <c r="AO54" s="70">
        <f ca="1">Wwp+(Wfc-Wwp)*(R54-AI54)/R54</f>
        <v>0.393589264484248</v>
      </c>
      <c r="AP54" s="70">
        <f ca="1">Wwp+(Wfc-Wwp)*(S54-AJ54)/S54</f>
        <v>0.395298145984282</v>
      </c>
      <c r="AQ54" s="70"/>
      <c r="AR54" s="70"/>
      <c r="AS54" s="70"/>
      <c r="AT54" s="70"/>
      <c r="AU54" s="70">
        <f ca="1">MIN((1-G54),fw)</f>
        <v>0.570666666666667</v>
      </c>
      <c r="AV54" s="70">
        <f ca="1" t="shared" si="5"/>
        <v>0</v>
      </c>
      <c r="AW54" s="70">
        <f ca="1">MIN((TEW-Y54)/(TEW-REW),1)</f>
        <v>0.122660699694827</v>
      </c>
      <c r="AX54" s="70">
        <f ca="1">MIN((TEW-Z54)/(TEW-REW),1)</f>
        <v>0.124542728630979</v>
      </c>
      <c r="AY54" s="70">
        <f ca="1">IF((AU54*(TEW-Y54))&gt;0,1/(1+((AV54*(TEW-Z54))/(AU54*(TEW-Y54)))),0)</f>
        <v>1</v>
      </c>
      <c r="AZ54" s="70">
        <f ca="1">MIN((AY54*AW54*(Kcmax-H54)),AU54*Kcmax)</f>
        <v>0.0816938523517021</v>
      </c>
      <c r="BA54" s="70">
        <f ca="1">MIN(((1-AY54)*AX54*(Kcmax-H54)),AV54*Kcmax)</f>
        <v>0</v>
      </c>
      <c r="BB54" s="70">
        <f ca="1" t="shared" si="6"/>
        <v>0.055388431894454</v>
      </c>
      <c r="BC54" s="70">
        <f ca="1">MIN((R54-AA54)/(R54*(1-(p+0.04*(5-I53)))),1)</f>
        <v>1</v>
      </c>
      <c r="BD54" s="10">
        <f ca="1" t="shared" si="7"/>
        <v>0.328141904927517</v>
      </c>
      <c r="BE54" s="70">
        <f ca="1">MIN(IF((1-AA54/R54)&gt;0,(1-Y54/TEW)/(1-AA54/R54)*(Ze/P54)^0.6,0),1)*BC54*H54*B54</f>
        <v>0.185042323541428</v>
      </c>
      <c r="BF54" s="70">
        <f ca="1">MIN(IF((1-AA54/R54)&gt;0,(1-Z54/TEW)/(1-AA54/R54)*(Ze/P54)^0.6,0),1)*BC54*H54*B54</f>
        <v>0.187881497035337</v>
      </c>
      <c r="BG54"/>
      <c r="BH54" s="10">
        <f ca="1" t="shared" si="8"/>
        <v>0.0112985554201307</v>
      </c>
      <c r="BI54" s="10">
        <f ca="1">IF(F54&lt;&gt;"",(Moy_Etobs-F54)^2,"")</f>
        <v>1.25226746974808</v>
      </c>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c r="A55" s="38">
        <v>39048</v>
      </c>
      <c r="B55" s="10">
        <v>0.85</v>
      </c>
      <c r="C55" s="39">
        <v>0</v>
      </c>
      <c r="D55">
        <v>0.476</v>
      </c>
      <c r="E55" s="39">
        <v>0</v>
      </c>
      <c r="F55" s="10">
        <v>0.6608808</v>
      </c>
      <c r="G55" s="10">
        <f ca="1">MIN(MAX(IF(AND(Durpla&gt;ROW()-MATCH(NDVImax,INDEX(D:D,Lig_min,1):INDEX(D:D,Lig_max,1),0)-Lig_min+1,ROW()-MATCH(NDVImax,INDEX(D:D,Lig_min,1):INDEX(D:D,Lig_max,1),0)-Lig_min+1&gt;0,D55*a_fc+b_fc&gt;fc_fin),NDVImax*a_fc+b_fc,D55*a_fc+b_fc),0),1)</f>
        <v>0.434666666666667</v>
      </c>
      <c r="H55" s="55">
        <f>MIN(MAX(D55*a_kcb+b_kcb,0),Kcmax)</f>
        <v>0.489997347910233</v>
      </c>
      <c r="I55" s="70">
        <f ca="1" t="shared" si="0"/>
        <v>0.484702584415846</v>
      </c>
      <c r="J55"/>
      <c r="K55"/>
      <c r="L55"/>
      <c r="M55"/>
      <c r="N55"/>
      <c r="O55" s="55"/>
      <c r="P55" s="35">
        <f ca="1">IF(ROW()-MATCH(NDVImax,INDEX(D:D,Lig_min,1):INDEX(D:D,Lig_max,1),0)-Lig_min+1&gt;0,MAX(MIN(Zr_min+MAX(INDEX(G:G,Lig_min,1):INDEX(G:G,Lig_max,1))/MAX(MAX(INDEX(G:G,Lig_min,1):INDEX(G:G,Lig_max,1)),Max_fc_pour_Zrmax)*(Zr_max-Zr_min),Zr_max),Ze+0.001),MAX(MIN(Zr_min+G55/MAX(MAX(INDEX(G:G,Lig_min,1):INDEX(G:G,Lig_max,1)),Max_fc_pour_Zrmax)*(Zr_max-Zr_min),Zr_max),Ze+0.001))</f>
        <v>329.535038291894</v>
      </c>
      <c r="Q55" s="35">
        <f ca="1">IF(Z_sol&gt;0,Z_sol-P55,0.1)</f>
        <v>284.33951277254</v>
      </c>
      <c r="R55" s="35">
        <f ca="1">(Wfc-Wwp)*P55</f>
        <v>42.8395549779462</v>
      </c>
      <c r="S55" s="35">
        <f ca="1">(Wfc-Wwp)*Q55</f>
        <v>36.9641366604302</v>
      </c>
      <c r="T55" s="99">
        <f ca="1" t="shared" si="9"/>
        <v>1.48383672081604</v>
      </c>
      <c r="U55" s="99">
        <f ca="1" t="shared" si="10"/>
        <v>0.899806159705176</v>
      </c>
      <c r="V55" s="99">
        <f ca="1">IF(P55&gt;P54,IF(Q55&gt;1,MAX(AI54+(Wfc-Wwp)*(P55-P54)*AJ54/S54,0),AI54/P54*P55),MAX(AI54+(Wfc-Wwp)*(P55-P54)*AI54/R54,0))</f>
        <v>2.10827330933065</v>
      </c>
      <c r="W55" s="99">
        <f ca="1">IF(S55&gt;1,IF(P55&gt;P54,MAX(AJ54-(Wfc-Wwp)*(P55-P54)*AJ54/S54,0),MAX(AJ54-(Wfc-Wwp)*(P55-P54)*AI54/R54,0)),0)</f>
        <v>1.3369228799568</v>
      </c>
      <c r="X55" s="99">
        <f ca="1">IF(AND(OR(AND(dec_vide_TAW&lt;0,V55&gt;R55*(p+0.04*(5-I54))),AND(dec_vide_TAW&gt;0,V55&gt;R55*dec_vide_TAW)),H55&gt;MAX(INDEX(H:H,Lig_min,1):INDEX(H:H,ROW(X55),1))*Kcbmax_stop_irrig*IF(ROW(X55)-lig_kcbmax&gt;0,1,0),MIN(INDEX(H:H,ROW(X55),1):INDEX(H:H,lig_kcbmax,1))&gt;Kcbmin_start_irrig),MIN(MAX(V55-E55*Irri_man-C55,0),Lame_max),0)</f>
        <v>0</v>
      </c>
      <c r="Y55" s="99">
        <f ca="1">MIN(MAX(T55-C55-IF(fw&gt;0,X55/fw*Irri_auto+E55/fw*Irri_man,0),0),TEW)</f>
        <v>1.48383672081604</v>
      </c>
      <c r="Z55" s="99">
        <f ca="1">MIN(MAX(U55-C55,0),TEW)</f>
        <v>0.899806159705176</v>
      </c>
      <c r="AA55" s="99">
        <f ca="1">MIN(MAX(V55-C55-(X55*Irri_auto+E55*Irri_man),0),R55)</f>
        <v>2.10827330933065</v>
      </c>
      <c r="AB55" s="99">
        <f ca="1">MIN(MAX(W55+MIN(V55-C55-(X55*Irri_auto+E55*Irri_man),0),0),S55)</f>
        <v>1.3369228799568</v>
      </c>
      <c r="AC55" s="99">
        <f ca="1">-MIN(W55+MIN(V55-C55-(X55*Irri_auto+E55*Irri_man),0),0)</f>
        <v>0</v>
      </c>
      <c r="AD55" s="39">
        <f ca="1">IF(((R55-AA55)/P55-((Wfc-Wwp)*Ze-Y55)/Ze)/Wfc*DiffE&lt;0,MAX(((R55-AA55)/P55-((Wfc-Wwp)*Ze-Y55)/Ze)/Wfc*DiffE,(R55*Ze-((Wfc-Wwp)*Ze-Y55-AA55)*P55)/(P55+Ze)-AA55),MIN(((R55-AA55)/P55-((Wfc-Wwp)*Ze-Y55)/Ze)/Wfc*DiffE,(R55*Ze-((Wfc-Wwp)*Ze-Y55-AA55)*P55)/(P55+Ze)-AA55))</f>
        <v>1.36824313502595e-8</v>
      </c>
      <c r="AE55" s="39">
        <f ca="1">IF(((R55-AA55)/P55-((Wfc-Wwp)*Ze-Z55)/Ze)/Wfc*DiffE&lt;0,MAX(((R55-AA55)/P55-((Wfc-Wwp)*Ze-Z55)/Ze)/Wfc*DiffE,(R55*Ze-((Wfc-Wwp)*Ze-Z55-AA55)*P55)/(P55+Ze)-AA55),MIN(((R55-AA55)/P55-((Wfc-Wwp)*Ze-Z55)/Ze)/Wfc*DiffE,(R55*Ze-((Wfc-Wwp)*Ze-Z55-AA55)*P55)/(P55+Ze)-AA55))</f>
        <v>2.0018201280423e-9</v>
      </c>
      <c r="AF55" s="39">
        <f ca="1">IF(((S55-AB55)/Q55-(R55-AA55)/P55)/Wfc*DiffR&lt;0,MAX(((S55-AB55)/Q55-(R55-AA55)/P55)/Wfc*DiffR,(S55*P55-(R55-AA55-AB55)*Q55)/(P55+Q55)-AB55),MIN(((S55-AB55)/Q55-(R55-AA55)/P55)/Wfc*DiffR,(S55*P55-(R55-AA55-AB55)*Q55)/(P55+Q55)-AB55))</f>
        <v>4.23966802676687e-9</v>
      </c>
      <c r="AG55" s="99">
        <f ca="1">MIN(MAX(Y55+IF(AU55&gt;0,B55*AZ55/AU55,0)+BE55-AD55,0),TEW)</f>
        <v>1.83838254961091</v>
      </c>
      <c r="AH55" s="99">
        <f ca="1">MIN(MAX(Z55+IF(AV55&gt;0,B55*BA55/AV55,0)+BF55-AE55,0),TEW)</f>
        <v>1.13802396897221</v>
      </c>
      <c r="AI55" s="99">
        <f ca="1" t="shared" si="1"/>
        <v>2.59297588950683</v>
      </c>
      <c r="AJ55" s="99">
        <f ca="1" t="shared" si="2"/>
        <v>1.33692288419646</v>
      </c>
      <c r="AK55" s="70">
        <f ca="1">IF((AU55+AV55)&gt;0,(TEW-(AG55*AU55+AH55*AV55)/(AU55+AV55))/TEW,(TEW-(AG55+AH55)/2)/TEW)</f>
        <v>0.944501658879671</v>
      </c>
      <c r="AL55" s="70">
        <f ca="1" t="shared" si="3"/>
        <v>0.939472389691217</v>
      </c>
      <c r="AM55" s="70">
        <f ca="1" t="shared" si="4"/>
        <v>0.96383189207209</v>
      </c>
      <c r="AN55" s="70">
        <f ca="1">Wwp+(Wfc-Wwp)*IF((AU55+AV55)&gt;0,(TEW-(AG55*AU55+AH55*AV55)/(AU55+AV55))/TEW,(TEW-(AG55+AH55)/2)/TEW)</f>
        <v>0.392785215654357</v>
      </c>
      <c r="AO55" s="70">
        <f ca="1">Wwp+(Wfc-Wwp)*(R55-AI55)/R55</f>
        <v>0.392131410659858</v>
      </c>
      <c r="AP55" s="70">
        <f ca="1">Wwp+(Wfc-Wwp)*(S55-AJ55)/S55</f>
        <v>0.395298145969372</v>
      </c>
      <c r="AQ55" s="70"/>
      <c r="AR55" s="70"/>
      <c r="AS55" s="70"/>
      <c r="AT55" s="70"/>
      <c r="AU55" s="70">
        <f ca="1">MIN((1-G55),fw)</f>
        <v>0.565333333333333</v>
      </c>
      <c r="AV55" s="70">
        <f ca="1" t="shared" si="5"/>
        <v>0</v>
      </c>
      <c r="AW55" s="70">
        <f ca="1">MIN((TEW-Y55)/(TEW-REW),1)</f>
        <v>0.121576764036595</v>
      </c>
      <c r="AX55" s="70">
        <f ca="1">MIN((TEW-Z55)/(TEW-REW),1)</f>
        <v>0.123820820144514</v>
      </c>
      <c r="AY55" s="70">
        <f ca="1">IF((AU55*(TEW-Y55))&gt;0,1/(1+((AV55*(TEW-Z55))/(AU55*(TEW-Y55)))),0)</f>
        <v>1</v>
      </c>
      <c r="AZ55" s="70">
        <f ca="1">MIN((AY55*AW55*(Kcmax-H55)),AU55*Kcmax)</f>
        <v>0.0802409866966443</v>
      </c>
      <c r="BA55" s="70">
        <f ca="1">MIN(((1-AY55)*AX55*(Kcmax-H55)),AV55*Kcmax)</f>
        <v>0</v>
      </c>
      <c r="BB55" s="70">
        <f ca="1" t="shared" si="6"/>
        <v>0.0682048386921476</v>
      </c>
      <c r="BC55" s="70">
        <f ca="1">MIN((R55-AA55)/(R55*(1-(p+0.04*(5-I54)))),1)</f>
        <v>1</v>
      </c>
      <c r="BD55" s="10">
        <f ca="1" t="shared" si="7"/>
        <v>0.416497745723698</v>
      </c>
      <c r="BE55" s="70">
        <f ca="1">MIN(IF((1-AA55/R55)&gt;0,(1-Y55/TEW)/(1-AA55/R55)*(Ze/P55)^0.6,0),1)*BC55*H55*B55</f>
        <v>0.233900491017143</v>
      </c>
      <c r="BF55" s="70">
        <f ca="1">MIN(IF((1-AA55/R55)&gt;0,(1-Z55/TEW)/(1-AA55/R55)*(Ze/P55)^0.6,0),1)*BC55*H55*B55</f>
        <v>0.238217811268852</v>
      </c>
      <c r="BG55"/>
      <c r="BH55" s="10">
        <f ca="1" t="shared" si="8"/>
        <v>0.0310387636464167</v>
      </c>
      <c r="BI55" s="10">
        <f ca="1">IF(F55&lt;&gt;"",(Moy_Etobs-F55)^2,"")</f>
        <v>0.898688400922484</v>
      </c>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10" customFormat="1" spans="1:61">
      <c r="A56" s="38">
        <v>39049</v>
      </c>
      <c r="B56" s="10">
        <v>0.649</v>
      </c>
      <c r="C56" s="39">
        <v>0.198</v>
      </c>
      <c r="D56" s="10">
        <v>0.479</v>
      </c>
      <c r="E56" s="39">
        <v>0</v>
      </c>
      <c r="F56" s="10">
        <v>0.3774924</v>
      </c>
      <c r="G56" s="10">
        <f ca="1">MIN(MAX(IF(AND(Durpla&gt;ROW()-MATCH(NDVImax,INDEX(D:D,Lig_min,1):INDEX(D:D,Lig_max,1),0)-Lig_min+1,ROW()-MATCH(NDVImax,INDEX(D:D,Lig_min,1):INDEX(D:D,Lig_max,1),0)-Lig_min+1&gt;0,D56*a_fc+b_fc&gt;fc_fin),NDVImax*a_fc+b_fc,D56*a_fc+b_fc),0),1)</f>
        <v>0.438666666666667</v>
      </c>
      <c r="H56" s="55">
        <f>MIN(MAX(D56*a_kcb+b_kcb,0),Kcmax)</f>
        <v>0.494506525958487</v>
      </c>
      <c r="I56" s="70">
        <f ca="1" t="shared" si="0"/>
        <v>0.372399456953029</v>
      </c>
      <c r="O56" s="55"/>
      <c r="P56" s="35">
        <f ca="1">IF(ROW()-MATCH(NDVImax,INDEX(D:D,Lig_min,1):INDEX(D:D,Lig_max,1),0)-Lig_min+1&gt;0,MAX(MIN(Zr_min+MAX(INDEX(G:G,Lig_min,1):INDEX(G:G,Lig_max,1))/MAX(MAX(INDEX(G:G,Lig_min,1):INDEX(G:G,Lig_max,1)),Max_fc_pour_Zrmax)*(Zr_max-Zr_min),Zr_max),Ze+0.001),MAX(MIN(Zr_min+G56/MAX(MAX(INDEX(G:G,Lig_min,1):INDEX(G:G,Lig_max,1)),Max_fc_pour_Zrmax)*(Zr_max-Zr_min),Zr_max),Ze+0.001))</f>
        <v>331.417262570654</v>
      </c>
      <c r="Q56" s="35">
        <f ca="1">IF(Z_sol&gt;0,Z_sol-P56,0.1)</f>
        <v>282.45728849378</v>
      </c>
      <c r="R56" s="35">
        <f ca="1">(Wfc-Wwp)*P56</f>
        <v>43.084244134185</v>
      </c>
      <c r="S56" s="35">
        <f ca="1">(Wfc-Wwp)*Q56</f>
        <v>36.7194475041915</v>
      </c>
      <c r="T56" s="99">
        <f ca="1" t="shared" si="9"/>
        <v>1.83838254961091</v>
      </c>
      <c r="U56" s="99">
        <f ca="1" t="shared" si="10"/>
        <v>1.13802396897221</v>
      </c>
      <c r="V56" s="99">
        <f ca="1">IF(P56&gt;P55,IF(Q56&gt;1,MAX(AI55+(Wfc-Wwp)*(P56-P55)*AJ55/S55,0),AI55/P55*P56),MAX(AI55+(Wfc-Wwp)*(P56-P55)*AI55/R55,0))</f>
        <v>2.60182583331847</v>
      </c>
      <c r="W56" s="99">
        <f ca="1">IF(S56&gt;1,IF(P56&gt;P55,MAX(AJ55-(Wfc-Wwp)*(P56-P55)*AJ55/S55,0),MAX(AJ55-(Wfc-Wwp)*(P56-P55)*AI55/R55,0)),0)</f>
        <v>1.32807294038483</v>
      </c>
      <c r="X56" s="99">
        <f ca="1">IF(AND(OR(AND(dec_vide_TAW&lt;0,V56&gt;R56*(p+0.04*(5-I55))),AND(dec_vide_TAW&gt;0,V56&gt;R56*dec_vide_TAW)),H56&gt;MAX(INDEX(H:H,Lig_min,1):INDEX(H:H,ROW(X56),1))*Kcbmax_stop_irrig*IF(ROW(X56)-lig_kcbmax&gt;0,1,0),MIN(INDEX(H:H,ROW(X56),1):INDEX(H:H,lig_kcbmax,1))&gt;Kcbmin_start_irrig),MIN(MAX(V56-E56*Irri_man-C56,0),Lame_max),0)</f>
        <v>0</v>
      </c>
      <c r="Y56" s="99">
        <f ca="1">MIN(MAX(T56-C56-IF(fw&gt;0,X56/fw*Irri_auto+E56/fw*Irri_man,0),0),TEW)</f>
        <v>1.64038254961091</v>
      </c>
      <c r="Z56" s="99">
        <f ca="1">MIN(MAX(U56-C56,0),TEW)</f>
        <v>0.940023968972208</v>
      </c>
      <c r="AA56" s="99">
        <f ca="1">MIN(MAX(V56-C56-(X56*Irri_auto+E56*Irri_man),0),R56)</f>
        <v>2.40382583331847</v>
      </c>
      <c r="AB56" s="99">
        <f ca="1">MIN(MAX(W56+MIN(V56-C56-(X56*Irri_auto+E56*Irri_man),0),0),S56)</f>
        <v>1.32807294038483</v>
      </c>
      <c r="AC56" s="99">
        <f ca="1">-MIN(W56+MIN(V56-C56-(X56*Irri_auto+E56*Irri_man),0),0)</f>
        <v>0</v>
      </c>
      <c r="AD56" s="39">
        <f ca="1">IF(((R56-AA56)/P56-((Wfc-Wwp)*Ze-Y56)/Ze)/Wfc*DiffE&lt;0,MAX(((R56-AA56)/P56-((Wfc-Wwp)*Ze-Y56)/Ze)/Wfc*DiffE,(R56*Ze-((Wfc-Wwp)*Ze-Y56-AA56)*P56)/(P56+Ze)-AA56),MIN(((R56-AA56)/P56-((Wfc-Wwp)*Ze-Y56)/Ze)/Wfc*DiffE,(R56*Ze-((Wfc-Wwp)*Ze-Y56-AA56)*P56)/(P56+Ze)-AA56))</f>
        <v>1.46747253362561e-8</v>
      </c>
      <c r="AE56" s="39">
        <f ca="1">IF(((R56-AA56)/P56-((Wfc-Wwp)*Ze-Z56)/Ze)/Wfc*DiffE&lt;0,MAX(((R56-AA56)/P56-((Wfc-Wwp)*Ze-Z56)/Ze)/Wfc*DiffE,(R56*Ze-((Wfc-Wwp)*Ze-Z56-AA56)*P56)/(P56+Ze)-AA56),MIN(((R56-AA56)/P56-((Wfc-Wwp)*Ze-Z56)/Ze)/Wfc*DiffE,(R56*Ze-((Wfc-Wwp)*Ze-Z56-AA56)*P56)/(P56+Ze)-AA56))</f>
        <v>6.67553723481956e-10</v>
      </c>
      <c r="AF56" s="39">
        <f ca="1">IF(((S56-AB56)/Q56-(R56-AA56)/P56)/Wfc*DiffR&lt;0,MAX(((S56-AB56)/Q56-(R56-AA56)/P56)/Wfc*DiffR,(S56*P56-(R56-AA56-AB56)*Q56)/(P56+Q56)-AB56),MIN(((S56-AB56)/Q56-(R56-AA56)/P56)/Wfc*DiffR,(S56*P56-(R56-AA56-AB56)*Q56)/(P56+Q56)-AB56))</f>
        <v>6.37829057939143e-9</v>
      </c>
      <c r="AG56" s="99">
        <f ca="1">MIN(MAX(Y56+IF(AU56&gt;0,B56*AZ56/AU56,0)+BE56-AD56,0),TEW)</f>
        <v>1.91204097668033</v>
      </c>
      <c r="AH56" s="99">
        <f ca="1">MIN(MAX(Z56+IF(AV56&gt;0,B56*BA56/AV56,0)+BF56-AE56,0),TEW)</f>
        <v>1.12400287245053</v>
      </c>
      <c r="AI56" s="99">
        <f ca="1" t="shared" si="1"/>
        <v>2.7762252838932</v>
      </c>
      <c r="AJ56" s="99">
        <f ca="1" t="shared" si="2"/>
        <v>1.32807294676312</v>
      </c>
      <c r="AK56" s="70">
        <f ca="1">IF((AU56+AV56)&gt;0,(TEW-(AG56*AU56+AH56*AV56)/(AU56+AV56))/TEW,(TEW-(AG56+AH56)/2)/TEW)</f>
        <v>0.94227800825116</v>
      </c>
      <c r="AL56" s="70">
        <f ca="1" t="shared" si="3"/>
        <v>0.935562864344406</v>
      </c>
      <c r="AM56" s="70">
        <f ca="1" t="shared" si="4"/>
        <v>0.963831891898386</v>
      </c>
      <c r="AN56" s="70">
        <f ca="1">Wwp+(Wfc-Wwp)*IF((AU56+AV56)&gt;0,(TEW-(AG56*AU56+AH56*AV56)/(AU56+AV56))/TEW,(TEW-(AG56+AH56)/2)/TEW)</f>
        <v>0.392496141072651</v>
      </c>
      <c r="AO56" s="70">
        <f ca="1">Wwp+(Wfc-Wwp)*(R56-AI56)/R56</f>
        <v>0.391623172364773</v>
      </c>
      <c r="AP56" s="70">
        <f ca="1">Wwp+(Wfc-Wwp)*(S56-AJ56)/S56</f>
        <v>0.39529814594679</v>
      </c>
      <c r="AQ56" s="70"/>
      <c r="AR56" s="70"/>
      <c r="AS56" s="70"/>
      <c r="AT56" s="70"/>
      <c r="AU56" s="70">
        <f ca="1">MIN((1-G56),fw)</f>
        <v>0.561333333333333</v>
      </c>
      <c r="AV56" s="70">
        <f ca="1" t="shared" si="5"/>
        <v>0</v>
      </c>
      <c r="AW56" s="70">
        <f ca="1">MIN((TEW-Y56)/(TEW-REW),1)</f>
        <v>0.120975258487624</v>
      </c>
      <c r="AX56" s="70">
        <f ca="1">MIN((TEW-Z56)/(TEW-REW),1)</f>
        <v>0.123666288812522</v>
      </c>
      <c r="AY56" s="70">
        <f ca="1">IF((AU56*(TEW-Y56))&gt;0,1/(1+((AV56*(TEW-Z56))/(AU56*(TEW-Y56)))),0)</f>
        <v>1</v>
      </c>
      <c r="AZ56" s="70">
        <f ca="1">MIN((AY56*AW56*(Kcmax-H56)),AU56*Kcmax)</f>
        <v>0.0792984924591229</v>
      </c>
      <c r="BA56" s="70">
        <f ca="1">MIN(((1-AY56)*AX56*(Kcmax-H56)),AV56*Kcmax)</f>
        <v>0</v>
      </c>
      <c r="BB56" s="70">
        <f ca="1" t="shared" si="6"/>
        <v>0.0514647216059708</v>
      </c>
      <c r="BC56" s="70">
        <f ca="1">MIN((R56-AA56)/(R56*(1-(p+0.04*(5-I55)))),1)</f>
        <v>1</v>
      </c>
      <c r="BD56" s="10">
        <f ca="1" t="shared" si="7"/>
        <v>0.320934735347058</v>
      </c>
      <c r="BE56" s="70">
        <f ca="1">MIN(IF((1-AA56/R56)&gt;0,(1-Y56/TEW)/(1-AA56/R56)*(Ze/P56)^0.6,0),1)*BC56*H56*B56</f>
        <v>0.179975446009044</v>
      </c>
      <c r="BF56" s="70">
        <f ca="1">MIN(IF((1-AA56/R56)&gt;0,(1-Z56/TEW)/(1-AA56/R56)*(Ze/P56)^0.6,0),1)*BC56*H56*B56</f>
        <v>0.183978904145873</v>
      </c>
      <c r="BH56" s="10">
        <f ca="1" t="shared" si="8"/>
        <v>2.59380688796925e-5</v>
      </c>
      <c r="BI56" s="10">
        <f ca="1">IF(F56&lt;&gt;"",(Moy_Etobs-F56)^2,"")</f>
        <v>1.51629712947915</v>
      </c>
    </row>
    <row r="57" spans="1:61">
      <c r="A57" s="38">
        <v>39050</v>
      </c>
      <c r="B57" s="10">
        <v>0.527</v>
      </c>
      <c r="C57" s="39">
        <v>0.99</v>
      </c>
      <c r="D57" s="10">
        <v>0.482</v>
      </c>
      <c r="E57" s="39">
        <v>0</v>
      </c>
      <c r="F57" s="10">
        <v>0.7460352</v>
      </c>
      <c r="G57" s="10">
        <f ca="1">MIN(MAX(IF(AND(Durpla&gt;ROW()-MATCH(NDVImax,INDEX(D:D,Lig_min,1):INDEX(D:D,Lig_max,1),0)-Lig_min+1,ROW()-MATCH(NDVImax,INDEX(D:D,Lig_min,1):INDEX(D:D,Lig_max,1),0)-Lig_min+1&gt;0,D57*a_fc+b_fc&gt;fc_fin),NDVImax*a_fc+b_fc,D57*a_fc+b_fc),0),1)</f>
        <v>0.442666666666667</v>
      </c>
      <c r="H57" s="55">
        <f>MIN(MAX(D57*a_kcb+b_kcb,0),Kcmax)</f>
        <v>0.499015704006741</v>
      </c>
      <c r="I57" s="70">
        <f ca="1" t="shared" si="0"/>
        <v>0.305431016983821</v>
      </c>
      <c r="O57" s="55"/>
      <c r="P57" s="35">
        <f ca="1">IF(ROW()-MATCH(NDVImax,INDEX(D:D,Lig_min,1):INDEX(D:D,Lig_max,1),0)-Lig_min+1&gt;0,MAX(MIN(Zr_min+MAX(INDEX(G:G,Lig_min,1):INDEX(G:G,Lig_max,1))/MAX(MAX(INDEX(G:G,Lig_min,1):INDEX(G:G,Lig_max,1)),Max_fc_pour_Zrmax)*(Zr_max-Zr_min),Zr_max),Ze+0.001),MAX(MIN(Zr_min+G57/MAX(MAX(INDEX(G:G,Lig_min,1):INDEX(G:G,Lig_max,1)),Max_fc_pour_Zrmax)*(Zr_max-Zr_min),Zr_max),Ze+0.001))</f>
        <v>333.299486849413</v>
      </c>
      <c r="Q57" s="35">
        <f ca="1">IF(Z_sol&gt;0,Z_sol-P57,0.1)</f>
        <v>280.575064215021</v>
      </c>
      <c r="R57" s="35">
        <f ca="1">(Wfc-Wwp)*P57</f>
        <v>43.3289332904238</v>
      </c>
      <c r="S57" s="35">
        <f ca="1">(Wfc-Wwp)*Q57</f>
        <v>36.4747583479527</v>
      </c>
      <c r="T57" s="99">
        <f ca="1" t="shared" si="9"/>
        <v>1.91204097668033</v>
      </c>
      <c r="U57" s="99">
        <f ca="1" t="shared" si="10"/>
        <v>1.12400287245053</v>
      </c>
      <c r="V57" s="99">
        <f ca="1">IF(P57&gt;P56,IF(Q57&gt;1,MAX(AI56+(Wfc-Wwp)*(P57-P56)*AJ56/S56,0),AI56/P56*P57),MAX(AI56+(Wfc-Wwp)*(P57-P56)*AI56/R56,0))</f>
        <v>2.78507522774734</v>
      </c>
      <c r="W57" s="99">
        <f ca="1">IF(S57&gt;1,IF(P57&gt;P56,MAX(AJ56-(Wfc-Wwp)*(P57-P56)*AJ56/S56,0),MAX(AJ56-(Wfc-Wwp)*(P57-P56)*AI56/R56,0)),0)</f>
        <v>1.31922300290899</v>
      </c>
      <c r="X57" s="99">
        <f ca="1">IF(AND(OR(AND(dec_vide_TAW&lt;0,V57&gt;R57*(p+0.04*(5-I56))),AND(dec_vide_TAW&gt;0,V57&gt;R57*dec_vide_TAW)),H57&gt;MAX(INDEX(H:H,Lig_min,1):INDEX(H:H,ROW(X57),1))*Kcbmax_stop_irrig*IF(ROW(X57)-lig_kcbmax&gt;0,1,0),MIN(INDEX(H:H,ROW(X57),1):INDEX(H:H,lig_kcbmax,1))&gt;Kcbmin_start_irrig),MIN(MAX(V57-E57*Irri_man-C57,0),Lame_max),0)</f>
        <v>0</v>
      </c>
      <c r="Y57" s="99">
        <f ca="1">MIN(MAX(T57-C57-IF(fw&gt;0,X57/fw*Irri_auto+E57/fw*Irri_man,0),0),TEW)</f>
        <v>0.922040976680335</v>
      </c>
      <c r="Z57" s="99">
        <f ca="1">MIN(MAX(U57-C57,0),TEW)</f>
        <v>0.134002872450527</v>
      </c>
      <c r="AA57" s="99">
        <f ca="1">MIN(MAX(V57-C57-(X57*Irri_auto+E57*Irri_man),0),R57)</f>
        <v>1.79507522774734</v>
      </c>
      <c r="AB57" s="99">
        <f ca="1">MIN(MAX(W57+MIN(V57-C57-(X57*Irri_auto+E57*Irri_man),0),0),S57)</f>
        <v>1.31922300290899</v>
      </c>
      <c r="AC57" s="99">
        <f ca="1">-MIN(W57+MIN(V57-C57-(X57*Irri_auto+E57*Irri_man),0),0)</f>
        <v>0</v>
      </c>
      <c r="AD57" s="39">
        <f ca="1">IF(((R57-AA57)/P57-((Wfc-Wwp)*Ze-Y57)/Ze)/Wfc*DiffE&lt;0,MAX(((R57-AA57)/P57-((Wfc-Wwp)*Ze-Y57)/Ze)/Wfc*DiffE,(R57*Ze-((Wfc-Wwp)*Ze-Y57-AA57)*P57)/(P57+Ze)-AA57),MIN(((R57-AA57)/P57-((Wfc-Wwp)*Ze-Y57)/Ze)/Wfc*DiffE,(R57*Ze-((Wfc-Wwp)*Ze-Y57-AA57)*P57)/(P57+Ze)-AA57))</f>
        <v>4.97638815452117e-9</v>
      </c>
      <c r="AE57" s="39">
        <f ca="1">IF(((R57-AA57)/P57-((Wfc-Wwp)*Ze-Z57)/Ze)/Wfc*DiffE&lt;0,MAX(((R57-AA57)/P57-((Wfc-Wwp)*Ze-Z57)/Ze)/Wfc*DiffE,(R57*Ze-((Wfc-Wwp)*Ze-Z57-AA57)*P57)/(P57+Ze)-AA57),MIN(((R57-AA57)/P57-((Wfc-Wwp)*Ze-Z57)/Ze)/Wfc*DiffE,(R57*Ze-((Wfc-Wwp)*Ze-Z57-AA57)*P57)/(P57+Ze)-AA57))</f>
        <v>-1.0784373930075e-8</v>
      </c>
      <c r="AF57" s="39">
        <f ca="1">IF(((S57-AB57)/Q57-(R57-AA57)/P57)/Wfc*DiffR&lt;0,MAX(((S57-AB57)/Q57-(R57-AA57)/P57)/Wfc*DiffR,(S57*P57-(R57-AA57-AB57)*Q57)/(P57+Q57)-AB57),MIN(((S57-AB57)/Q57-(R57-AA57)/P57)/Wfc*DiffR,(S57*P57-(R57-AA57-AB57)*Q57)/(P57+Q57)-AB57))</f>
        <v>1.70979624606108e-9</v>
      </c>
      <c r="AG57" s="99">
        <f ca="1">MIN(MAX(Y57+IF(AU57&gt;0,B57*AZ57/AU57,0)+BE57-AD57,0),TEW)</f>
        <v>1.14628311250516</v>
      </c>
      <c r="AH57" s="99">
        <f ca="1">MIN(MAX(Z57+IF(AV57&gt;0,B57*BA57/AV57,0)+BF57-AE57,0),TEW)</f>
        <v>0.285702794587295</v>
      </c>
      <c r="AI57" s="99">
        <f ca="1" t="shared" si="1"/>
        <v>2.10050624302137</v>
      </c>
      <c r="AJ57" s="99">
        <f ca="1" t="shared" si="2"/>
        <v>1.31922300461878</v>
      </c>
      <c r="AK57" s="70">
        <f ca="1">IF((AU57+AV57)&gt;0,(TEW-(AG57*AU57+AH57*AV57)/(AU57+AV57))/TEW,(TEW-(AG57+AH57)/2)/TEW)</f>
        <v>0.965395226792297</v>
      </c>
      <c r="AL57" s="70">
        <f ca="1" t="shared" si="3"/>
        <v>0.951521856563092</v>
      </c>
      <c r="AM57" s="70">
        <f ca="1" t="shared" si="4"/>
        <v>0.96383189185151</v>
      </c>
      <c r="AN57" s="70">
        <f ca="1">Wwp+(Wfc-Wwp)*IF((AU57+AV57)&gt;0,(TEW-(AG57*AU57+AH57*AV57)/(AU57+AV57))/TEW,(TEW-(AG57+AH57)/2)/TEW)</f>
        <v>0.395501379482999</v>
      </c>
      <c r="AO57" s="70">
        <f ca="1">Wwp+(Wfc-Wwp)*(R57-AI57)/R57</f>
        <v>0.393697841353202</v>
      </c>
      <c r="AP57" s="70">
        <f ca="1">Wwp+(Wfc-Wwp)*(S57-AJ57)/S57</f>
        <v>0.395298145940696</v>
      </c>
      <c r="AQ57" s="70"/>
      <c r="AR57" s="70"/>
      <c r="AS57" s="70"/>
      <c r="AT57" s="70"/>
      <c r="AU57" s="70">
        <f ca="1">MIN((1-G57),fw)</f>
        <v>0.557333333333333</v>
      </c>
      <c r="AV57" s="70">
        <f ca="1" t="shared" si="5"/>
        <v>0</v>
      </c>
      <c r="AW57" s="70">
        <f ca="1">MIN((TEW-Y57)/(TEW-REW),1)</f>
        <v>0.123735385956367</v>
      </c>
      <c r="AX57" s="70">
        <f ca="1">MIN((TEW-Z57)/(TEW-REW),1)</f>
        <v>0.126763312641756</v>
      </c>
      <c r="AY57" s="70">
        <f ca="1">IF((AU57*(TEW-Y57))&gt;0,1/(1+((AV57*(TEW-Z57))/(AU57*(TEW-Y57)))),0)</f>
        <v>1</v>
      </c>
      <c r="AZ57" s="70">
        <f ca="1">MIN((AY57*AW57*(Kcmax-H57)),AU57*Kcmax)</f>
        <v>0.08054979311626</v>
      </c>
      <c r="BA57" s="70">
        <f ca="1">MIN(((1-AY57)*AX57*(Kcmax-H57)),AV57*Kcmax)</f>
        <v>0</v>
      </c>
      <c r="BB57" s="70">
        <f ca="1" t="shared" si="6"/>
        <v>0.042449740972269</v>
      </c>
      <c r="BC57" s="70">
        <f ca="1">MIN((R57-AA57)/(R57*(1-(p+0.04*(5-I56)))),1)</f>
        <v>1</v>
      </c>
      <c r="BD57" s="10">
        <f ca="1" t="shared" si="7"/>
        <v>0.262981276011552</v>
      </c>
      <c r="BE57" s="70">
        <f ca="1">MIN(IF((1-AA57/R57)&gt;0,(1-Y57/TEW)/(1-AA57/R57)*(Ze/P57)^0.6,0),1)*BC57*H57*B57</f>
        <v>0.148076337621301</v>
      </c>
      <c r="BF57" s="70">
        <f ca="1">MIN(IF((1-AA57/R57)&gt;0,(1-Z57/TEW)/(1-AA57/R57)*(Ze/P57)^0.6,0),1)*BC57*H57*B57</f>
        <v>0.151699911352394</v>
      </c>
      <c r="BH57" s="10">
        <f ca="1" t="shared" si="8"/>
        <v>0.194132046091354</v>
      </c>
      <c r="BI57" s="10">
        <f ca="1">IF(F57&lt;&gt;"",(Moy_Etobs-F57)^2,"")</f>
        <v>0.744488331559998</v>
      </c>
    </row>
    <row r="58" spans="1:61">
      <c r="A58" s="38">
        <v>39051</v>
      </c>
      <c r="B58" s="10">
        <v>0.298</v>
      </c>
      <c r="C58" s="39">
        <v>0.396</v>
      </c>
      <c r="D58" s="10">
        <v>0.485</v>
      </c>
      <c r="E58" s="39">
        <v>0</v>
      </c>
      <c r="G58" s="10">
        <f ca="1">MIN(MAX(IF(AND(Durpla&gt;ROW()-MATCH(NDVImax,INDEX(D:D,Lig_min,1):INDEX(D:D,Lig_max,1),0)-Lig_min+1,ROW()-MATCH(NDVImax,INDEX(D:D,Lig_min,1):INDEX(D:D,Lig_max,1),0)-Lig_min+1&gt;0,D58*a_fc+b_fc&gt;fc_fin),NDVImax*a_fc+b_fc,D58*a_fc+b_fc),0),1)</f>
        <v>0.446666666666667</v>
      </c>
      <c r="H58" s="55">
        <f>MIN(MAX(D58*a_kcb+b_kcb,0),Kcmax)</f>
        <v>0.503524882054994</v>
      </c>
      <c r="I58" s="70">
        <f ca="1" t="shared" si="0"/>
        <v>0.174015125812299</v>
      </c>
      <c r="O58" s="55"/>
      <c r="P58" s="35">
        <f ca="1">IF(ROW()-MATCH(NDVImax,INDEX(D:D,Lig_min,1):INDEX(D:D,Lig_max,1),0)-Lig_min+1&gt;0,MAX(MIN(Zr_min+MAX(INDEX(G:G,Lig_min,1):INDEX(G:G,Lig_max,1))/MAX(MAX(INDEX(G:G,Lig_min,1):INDEX(G:G,Lig_max,1)),Max_fc_pour_Zrmax)*(Zr_max-Zr_min),Zr_max),Ze+0.001),MAX(MIN(Zr_min+G58/MAX(MAX(INDEX(G:G,Lig_min,1):INDEX(G:G,Lig_max,1)),Max_fc_pour_Zrmax)*(Zr_max-Zr_min),Zr_max),Ze+0.001))</f>
        <v>335.181711128173</v>
      </c>
      <c r="Q58" s="35">
        <f ca="1">IF(Z_sol&gt;0,Z_sol-P58,0.1)</f>
        <v>278.692839936261</v>
      </c>
      <c r="R58" s="35">
        <f ca="1">(Wfc-Wwp)*P58</f>
        <v>43.5736224466625</v>
      </c>
      <c r="S58" s="35">
        <f ca="1">(Wfc-Wwp)*Q58</f>
        <v>36.2300691917139</v>
      </c>
      <c r="T58" s="99">
        <f ca="1" t="shared" si="9"/>
        <v>1.14628311250516</v>
      </c>
      <c r="U58" s="99">
        <f ca="1" t="shared" si="10"/>
        <v>0.285702794587295</v>
      </c>
      <c r="V58" s="99">
        <f ca="1">IF(P58&gt;P57,IF(Q58&gt;1,MAX(AI57+(Wfc-Wwp)*(P58-P57)*AJ57/S57,0),AI57/P57*P58),MAX(AI57+(Wfc-Wwp)*(P58-P57)*AI57/R57,0))</f>
        <v>2.10935618688697</v>
      </c>
      <c r="W58" s="99">
        <f ca="1">IF(S58&gt;1,IF(P58&gt;P57,MAX(AJ57-(Wfc-Wwp)*(P58-P57)*AJ57/S57,0),MAX(AJ57-(Wfc-Wwp)*(P58-P57)*AI57/R57,0)),0)</f>
        <v>1.31037306075318</v>
      </c>
      <c r="X58" s="99">
        <f ca="1">IF(AND(OR(AND(dec_vide_TAW&lt;0,V58&gt;R58*(p+0.04*(5-I57))),AND(dec_vide_TAW&gt;0,V58&gt;R58*dec_vide_TAW)),H58&gt;MAX(INDEX(H:H,Lig_min,1):INDEX(H:H,ROW(X58),1))*Kcbmax_stop_irrig*IF(ROW(X58)-lig_kcbmax&gt;0,1,0),MIN(INDEX(H:H,ROW(X58),1):INDEX(H:H,lig_kcbmax,1))&gt;Kcbmin_start_irrig),MIN(MAX(V58-E58*Irri_man-C58,0),Lame_max),0)</f>
        <v>0</v>
      </c>
      <c r="Y58" s="99">
        <f ca="1">MIN(MAX(T58-C58-IF(fw&gt;0,X58/fw*Irri_auto+E58/fw*Irri_man,0),0),TEW)</f>
        <v>0.750283112505156</v>
      </c>
      <c r="Z58" s="99">
        <f ca="1">MIN(MAX(U58-C58,0),TEW)</f>
        <v>0</v>
      </c>
      <c r="AA58" s="99">
        <f ca="1">MIN(MAX(V58-C58-(X58*Irri_auto+E58*Irri_man),0),R58)</f>
        <v>1.71335618688697</v>
      </c>
      <c r="AB58" s="99">
        <f ca="1">MIN(MAX(W58+MIN(V58-C58-(X58*Irri_auto+E58*Irri_man),0),0),S58)</f>
        <v>1.31037306075318</v>
      </c>
      <c r="AC58" s="99">
        <f ca="1">-MIN(W58+MIN(V58-C58-(X58*Irri_auto+E58*Irri_man),0),0)</f>
        <v>0</v>
      </c>
      <c r="AD58" s="39">
        <f ca="1">IF(((R58-AA58)/P58-((Wfc-Wwp)*Ze-Y58)/Ze)/Wfc*DiffE&lt;0,MAX(((R58-AA58)/P58-((Wfc-Wwp)*Ze-Y58)/Ze)/Wfc*DiffE,(R58*Ze-((Wfc-Wwp)*Ze-Y58-AA58)*P58)/(P58+Ze)-AA58),MIN(((R58-AA58)/P58-((Wfc-Wwp)*Ze-Y58)/Ze)/Wfc*DiffE,(R58*Ze-((Wfc-Wwp)*Ze-Y58-AA58)*P58)/(P58+Ze)-AA58))</f>
        <v>2.22635381826729e-9</v>
      </c>
      <c r="AE58" s="39">
        <f ca="1">IF(((R58-AA58)/P58-((Wfc-Wwp)*Ze-Z58)/Ze)/Wfc*DiffE&lt;0,MAX(((R58-AA58)/P58-((Wfc-Wwp)*Ze-Z58)/Ze)/Wfc*DiffE,(R58*Ze-((Wfc-Wwp)*Ze-Z58-AA58)*P58)/(P58+Ze)-AA58),MIN(((R58-AA58)/P58-((Wfc-Wwp)*Ze-Z58)/Ze)/Wfc*DiffE,(R58*Ze-((Wfc-Wwp)*Ze-Z58-AA58)*P58)/(P58+Ze)-AA58))</f>
        <v>-1.27793084318358e-8</v>
      </c>
      <c r="AF58" s="39">
        <f ca="1">IF(((S58-AB58)/Q58-(R58-AA58)/P58)/Wfc*DiffR&lt;0,MAX(((S58-AB58)/Q58-(R58-AA58)/P58)/Wfc*DiffR,(S58*P58-(R58-AA58-AB58)*Q58)/(P58+Q58)-AB58),MIN(((S58-AB58)/Q58-(R58-AA58)/P58)/Wfc*DiffR,(S58*P58-(R58-AA58-AB58)*Q58)/(P58+Q58)-AB58))</f>
        <v>1.02467328357662e-9</v>
      </c>
      <c r="AG58" s="99">
        <f ca="1">MIN(MAX(Y58+IF(AU58&gt;0,B58*AZ58/AU58,0)+BE58-AD58,0),TEW)</f>
        <v>0.878059774868178</v>
      </c>
      <c r="AH58" s="99">
        <f ca="1">MIN(MAX(Z58+IF(AV58&gt;0,B58*BA58/AV58,0)+BF58-AE58,0),TEW)</f>
        <v>0.0864244777575454</v>
      </c>
      <c r="AI58" s="99">
        <f ca="1" t="shared" si="1"/>
        <v>1.8873713116746</v>
      </c>
      <c r="AJ58" s="99">
        <f ca="1" t="shared" si="2"/>
        <v>1.31037306177785</v>
      </c>
      <c r="AK58" s="70">
        <f ca="1">IF((AU58+AV58)&gt;0,(TEW-(AG58*AU58+AH58*AV58)/(AU58+AV58))/TEW,(TEW-(AG58+AH58)/2)/TEW)</f>
        <v>0.973492535098319</v>
      </c>
      <c r="AL58" s="70">
        <f ca="1" t="shared" si="3"/>
        <v>0.956685462311863</v>
      </c>
      <c r="AM58" s="70">
        <f ca="1" t="shared" si="4"/>
        <v>0.963831891823228</v>
      </c>
      <c r="AN58" s="70">
        <f ca="1">Wwp+(Wfc-Wwp)*IF((AU58+AV58)&gt;0,(TEW-(AG58*AU58+AH58*AV58)/(AU58+AV58))/TEW,(TEW-(AG58+AH58)/2)/TEW)</f>
        <v>0.396554029562782</v>
      </c>
      <c r="AO58" s="70">
        <f ca="1">Wwp+(Wfc-Wwp)*(R58-AI58)/R58</f>
        <v>0.394369110100542</v>
      </c>
      <c r="AP58" s="70">
        <f ca="1">Wwp+(Wfc-Wwp)*(S58-AJ58)/S58</f>
        <v>0.39529814593702</v>
      </c>
      <c r="AQ58" s="70"/>
      <c r="AR58" s="70"/>
      <c r="AS58" s="70"/>
      <c r="AT58" s="70"/>
      <c r="AU58" s="70">
        <f ca="1">MIN((1-G58),fw)</f>
        <v>0.553333333333333</v>
      </c>
      <c r="AV58" s="70">
        <f ca="1" t="shared" si="5"/>
        <v>0</v>
      </c>
      <c r="AW58" s="70">
        <f ca="1">MIN((TEW-Y58)/(TEW-REW),1)</f>
        <v>0.124395341633091</v>
      </c>
      <c r="AX58" s="70">
        <f ca="1">MIN((TEW-Z58)/(TEW-REW),1)</f>
        <v>0.12727820001996</v>
      </c>
      <c r="AY58" s="70">
        <f ca="1">IF((AU58*(TEW-Y58))&gt;0,1/(1+((AV58*(TEW-Z58))/(AU58*(TEW-Y58)))),0)</f>
        <v>1</v>
      </c>
      <c r="AZ58" s="70">
        <f ca="1">MIN((AY58*AW58*(Kcmax-H58)),AU58*Kcmax)</f>
        <v>0.0804184931540621</v>
      </c>
      <c r="BA58" s="70">
        <f ca="1">MIN(((1-AY58)*AX58*(Kcmax-H58)),AV58*Kcmax)</f>
        <v>0</v>
      </c>
      <c r="BB58" s="70">
        <f ca="1" t="shared" si="6"/>
        <v>0.0239647109599105</v>
      </c>
      <c r="BC58" s="70">
        <f ca="1">MIN((R58-AA58)/(R58*(1-(p+0.04*(5-I57)))),1)</f>
        <v>1</v>
      </c>
      <c r="BD58" s="10">
        <f ca="1" t="shared" si="7"/>
        <v>0.150050414852388</v>
      </c>
      <c r="BE58" s="70">
        <f ca="1">MIN(IF((1-AA58/R58)&gt;0,(1-Y58/TEW)/(1-AA58/R58)*(Ze/P58)^0.6,0),1)*BC58*H58*B58</f>
        <v>0.0844669459871286</v>
      </c>
      <c r="BF58" s="70">
        <f ca="1">MIN(IF((1-AA58/R58)&gt;0,(1-Z58/TEW)/(1-AA58/R58)*(Ze/P58)^0.6,0),1)*BC58*H58*B58</f>
        <v>0.086424464978237</v>
      </c>
      <c r="BH58" s="10" t="str">
        <f ca="1" t="shared" si="8"/>
        <v/>
      </c>
      <c r="BI58" s="10" t="str">
        <f ca="1">IF(F58&lt;&gt;"",(Moy_Etobs-F58)^2,"")</f>
        <v/>
      </c>
    </row>
    <row r="59" spans="1:61">
      <c r="A59" s="38">
        <v>39052</v>
      </c>
      <c r="B59" s="10">
        <v>0.624</v>
      </c>
      <c r="C59" s="39">
        <v>0.198</v>
      </c>
      <c r="D59" s="10">
        <v>0.488</v>
      </c>
      <c r="E59" s="39">
        <v>0</v>
      </c>
      <c r="F59" s="10">
        <v>0.701838</v>
      </c>
      <c r="G59" s="10">
        <f ca="1">MIN(MAX(IF(AND(Durpla&gt;ROW()-MATCH(NDVImax,INDEX(D:D,Lig_min,1):INDEX(D:D,Lig_max,1),0)-Lig_min+1,ROW()-MATCH(NDVImax,INDEX(D:D,Lig_min,1):INDEX(D:D,Lig_max,1),0)-Lig_min+1&gt;0,D59*a_fc+b_fc&gt;fc_fin),NDVImax*a_fc+b_fc,D59*a_fc+b_fc),0),1)</f>
        <v>0.450666666666667</v>
      </c>
      <c r="H59" s="55">
        <f>MIN(MAX(D59*a_kcb+b_kcb,0),Kcmax)</f>
        <v>0.508034060103248</v>
      </c>
      <c r="I59" s="70">
        <f ca="1" t="shared" si="0"/>
        <v>0.366952466365022</v>
      </c>
      <c r="O59" s="55"/>
      <c r="P59" s="35">
        <f ca="1">IF(ROW()-MATCH(NDVImax,INDEX(D:D,Lig_min,1):INDEX(D:D,Lig_max,1),0)-Lig_min+1&gt;0,MAX(MIN(Zr_min+MAX(INDEX(G:G,Lig_min,1):INDEX(G:G,Lig_max,1))/MAX(MAX(INDEX(G:G,Lig_min,1):INDEX(G:G,Lig_max,1)),Max_fc_pour_Zrmax)*(Zr_max-Zr_min),Zr_max),Ze+0.001),MAX(MIN(Zr_min+G59/MAX(MAX(INDEX(G:G,Lig_min,1):INDEX(G:G,Lig_max,1)),Max_fc_pour_Zrmax)*(Zr_max-Zr_min),Zr_max),Ze+0.001))</f>
        <v>337.063935406933</v>
      </c>
      <c r="Q59" s="35">
        <f ca="1">IF(Z_sol&gt;0,Z_sol-P59,0.1)</f>
        <v>276.810615657501</v>
      </c>
      <c r="R59" s="35">
        <f ca="1">(Wfc-Wwp)*P59</f>
        <v>43.8183116029013</v>
      </c>
      <c r="S59" s="35">
        <f ca="1">(Wfc-Wwp)*Q59</f>
        <v>35.9853800354751</v>
      </c>
      <c r="T59" s="99">
        <f ca="1" t="shared" si="9"/>
        <v>0.878059774868178</v>
      </c>
      <c r="U59" s="99">
        <f ca="1" t="shared" si="10"/>
        <v>0.0864244777575454</v>
      </c>
      <c r="V59" s="99">
        <f ca="1">IF(P59&gt;P58,IF(Q59&gt;1,MAX(AI58+(Wfc-Wwp)*(P59-P58)*AJ58/S58,0),AI58/P58*P59),MAX(AI58+(Wfc-Wwp)*(P59-P58)*AI58/R58,0))</f>
        <v>1.89622125554712</v>
      </c>
      <c r="W59" s="99">
        <f ca="1">IF(S59&gt;1,IF(P59&gt;P58,MAX(AJ58-(Wfc-Wwp)*(P59-P58)*AJ58/S58,0),MAX(AJ58-(Wfc-Wwp)*(P59-P58)*AI58/R58,0)),0)</f>
        <v>1.30152311790532</v>
      </c>
      <c r="X59" s="99">
        <f ca="1">IF(AND(OR(AND(dec_vide_TAW&lt;0,V59&gt;R59*(p+0.04*(5-I58))),AND(dec_vide_TAW&gt;0,V59&gt;R59*dec_vide_TAW)),H59&gt;MAX(INDEX(H:H,Lig_min,1):INDEX(H:H,ROW(X59),1))*Kcbmax_stop_irrig*IF(ROW(X59)-lig_kcbmax&gt;0,1,0),MIN(INDEX(H:H,ROW(X59),1):INDEX(H:H,lig_kcbmax,1))&gt;Kcbmin_start_irrig),MIN(MAX(V59-E59*Irri_man-C59,0),Lame_max),0)</f>
        <v>0</v>
      </c>
      <c r="Y59" s="99">
        <f ca="1">MIN(MAX(T59-C59-IF(fw&gt;0,X59/fw*Irri_auto+E59/fw*Irri_man,0),0),TEW)</f>
        <v>0.680059774868178</v>
      </c>
      <c r="Z59" s="99">
        <f ca="1">MIN(MAX(U59-C59,0),TEW)</f>
        <v>0</v>
      </c>
      <c r="AA59" s="99">
        <f ca="1">MIN(MAX(V59-C59-(X59*Irri_auto+E59*Irri_man),0),R59)</f>
        <v>1.69822125554712</v>
      </c>
      <c r="AB59" s="99">
        <f ca="1">MIN(MAX(W59+MIN(V59-C59-(X59*Irri_auto+E59*Irri_man),0),0),S59)</f>
        <v>1.30152311790532</v>
      </c>
      <c r="AC59" s="99">
        <f ca="1">-MIN(W59+MIN(V59-C59-(X59*Irri_auto+E59*Irri_man),0),0)</f>
        <v>0</v>
      </c>
      <c r="AD59" s="39">
        <f ca="1">IF(((R59-AA59)/P59-((Wfc-Wwp)*Ze-Y59)/Ze)/Wfc*DiffE&lt;0,MAX(((R59-AA59)/P59-((Wfc-Wwp)*Ze-Y59)/Ze)/Wfc*DiffE,(R59*Ze-((Wfc-Wwp)*Ze-Y59-AA59)*P59)/(P59+Ze)-AA59),MIN(((R59-AA59)/P59-((Wfc-Wwp)*Ze-Y59)/Ze)/Wfc*DiffE,(R59*Ze-((Wfc-Wwp)*Ze-Y59-AA59)*P59)/(P59+Ze)-AA59))</f>
        <v>1.00550461236214e-9</v>
      </c>
      <c r="AE59" s="39">
        <f ca="1">IF(((R59-AA59)/P59-((Wfc-Wwp)*Ze-Z59)/Ze)/Wfc*DiffE&lt;0,MAX(((R59-AA59)/P59-((Wfc-Wwp)*Ze-Z59)/Ze)/Wfc*DiffE,(R59*Ze-((Wfc-Wwp)*Ze-Z59-AA59)*P59)/(P59+Ze)-AA59),MIN(((R59-AA59)/P59-((Wfc-Wwp)*Ze-Z59)/Ze)/Wfc*DiffE,(R59*Ze-((Wfc-Wwp)*Ze-Z59-AA59)*P59)/(P59+Ze)-AA59))</f>
        <v>-1.25956908850014e-8</v>
      </c>
      <c r="AF59" s="39">
        <f ca="1">IF(((S59-AB59)/Q59-(R59-AA59)/P59)/Wfc*DiffR&lt;0,MAX(((S59-AB59)/Q59-(R59-AA59)/P59)/Wfc*DiffR,(S59*P59-(R59-AA59-AB59)*Q59)/(P59+Q59)-AB59),MIN(((S59-AB59)/Q59-(R59-AA59)/P59)/Wfc*DiffR,(S59*P59-(R59-AA59-AB59)*Q59)/(P59+Q59)-AB59))</f>
        <v>8.41055727550492e-10</v>
      </c>
      <c r="AG59" s="99">
        <f ca="1">MIN(MAX(Y59+IF(AU59&gt;0,B59*AZ59/AU59,0)+BE59-AD59,0),TEW)</f>
        <v>0.949105271614854</v>
      </c>
      <c r="AH59" s="99">
        <f ca="1">MIN(MAX(Z59+IF(AV59&gt;0,B59*BA59/AV59,0)+BF59-AE59,0),TEW)</f>
        <v>0.181870570989386</v>
      </c>
      <c r="AI59" s="99">
        <f ca="1" t="shared" si="1"/>
        <v>2.06517372107109</v>
      </c>
      <c r="AJ59" s="99">
        <f ca="1" t="shared" si="2"/>
        <v>1.30152311874638</v>
      </c>
      <c r="AK59" s="70">
        <f ca="1">IF((AU59+AV59)&gt;0,(TEW-(AG59*AU59+AH59*AV59)/(AU59+AV59))/TEW,(TEW-(AG59+AH59)/2)/TEW)</f>
        <v>0.971347765385212</v>
      </c>
      <c r="AL59" s="70">
        <f ca="1" t="shared" si="3"/>
        <v>0.952869618989739</v>
      </c>
      <c r="AM59" s="70">
        <f ca="1" t="shared" si="4"/>
        <v>0.963831891799856</v>
      </c>
      <c r="AN59" s="70">
        <f ca="1">Wwp+(Wfc-Wwp)*IF((AU59+AV59)&gt;0,(TEW-(AG59*AU59+AH59*AV59)/(AU59+AV59))/TEW,(TEW-(AG59+AH59)/2)/TEW)</f>
        <v>0.396275209500078</v>
      </c>
      <c r="AO59" s="70">
        <f ca="1">Wwp+(Wfc-Wwp)*(R59-AI59)/R59</f>
        <v>0.393873050468666</v>
      </c>
      <c r="AP59" s="70">
        <f ca="1">Wwp+(Wfc-Wwp)*(S59-AJ59)/S59</f>
        <v>0.395298145933981</v>
      </c>
      <c r="AQ59" s="70"/>
      <c r="AR59" s="70"/>
      <c r="AS59" s="70"/>
      <c r="AT59" s="70"/>
      <c r="AU59" s="70">
        <f ca="1">MIN((1-G59),fw)</f>
        <v>0.549333333333333</v>
      </c>
      <c r="AV59" s="70">
        <f ca="1" t="shared" si="5"/>
        <v>0</v>
      </c>
      <c r="AW59" s="70">
        <f ca="1">MIN((TEW-Y59)/(TEW-REW),1)</f>
        <v>0.124665165029735</v>
      </c>
      <c r="AX59" s="70">
        <f ca="1">MIN((TEW-Z59)/(TEW-REW),1)</f>
        <v>0.12727820001996</v>
      </c>
      <c r="AY59" s="70">
        <f ca="1">IF((AU59*(TEW-Y59))&gt;0,1/(1+((AV59*(TEW-Z59))/(AU59*(TEW-Y59)))),0)</f>
        <v>1</v>
      </c>
      <c r="AZ59" s="70">
        <f ca="1">MIN((AY59*AW59*(Kcmax-H59)),AU59*Kcmax)</f>
        <v>0.0800307898406978</v>
      </c>
      <c r="BA59" s="70">
        <f ca="1">MIN(((1-AY59)*AX59*(Kcmax-H59)),AV59*Kcmax)</f>
        <v>0</v>
      </c>
      <c r="BB59" s="70">
        <f ca="1" t="shared" si="6"/>
        <v>0.0499392128605954</v>
      </c>
      <c r="BC59" s="70">
        <f ca="1">MIN((R59-AA59)/(R59*(1-(p+0.04*(5-I58)))),1)</f>
        <v>1</v>
      </c>
      <c r="BD59" s="10">
        <f ca="1" t="shared" si="7"/>
        <v>0.317013253504427</v>
      </c>
      <c r="BE59" s="70">
        <f ca="1">MIN(IF((1-AA59/R59)&gt;0,(1-Y59/TEW)/(1-AA59/R59)*(Ze/P59)^0.6,0),1)*BC59*H59*B59</f>
        <v>0.178136736476824</v>
      </c>
      <c r="BF59" s="70">
        <f ca="1">MIN(IF((1-AA59/R59)&gt;0,(1-Z59/TEW)/(1-AA59/R59)*(Ze/P59)^0.6,0),1)*BC59*H59*B59</f>
        <v>0.181870558393696</v>
      </c>
      <c r="BH59" s="10">
        <f ca="1" t="shared" si="8"/>
        <v>0.112148320637984</v>
      </c>
      <c r="BI59" s="10">
        <f ca="1">IF(F59&lt;&gt;"",(Moy_Etobs-F59)^2,"")</f>
        <v>0.822711715896634</v>
      </c>
    </row>
    <row r="60" spans="1:61">
      <c r="A60" s="38">
        <v>39053</v>
      </c>
      <c r="B60" s="10">
        <v>0.411</v>
      </c>
      <c r="C60" s="39">
        <v>0</v>
      </c>
      <c r="D60" s="10">
        <v>0.492</v>
      </c>
      <c r="E60" s="39">
        <v>0</v>
      </c>
      <c r="F60" s="10">
        <v>0.2584476</v>
      </c>
      <c r="G60" s="10">
        <f ca="1">MIN(MAX(IF(AND(Durpla&gt;ROW()-MATCH(NDVImax,INDEX(D:D,Lig_min,1):INDEX(D:D,Lig_max,1),0)-Lig_min+1,ROW()-MATCH(NDVImax,INDEX(D:D,Lig_min,1):INDEX(D:D,Lig_max,1),0)-Lig_min+1&gt;0,D60*a_fc+b_fc&gt;fc_fin),NDVImax*a_fc+b_fc,D60*a_fc+b_fc),0),1)</f>
        <v>0.456</v>
      </c>
      <c r="H60" s="55">
        <f>MIN(MAX(D60*a_kcb+b_kcb,0),Kcmax)</f>
        <v>0.514046297500919</v>
      </c>
      <c r="I60" s="70">
        <f ca="1" t="shared" si="0"/>
        <v>0.24358742795324</v>
      </c>
      <c r="O60" s="55"/>
      <c r="P60" s="35">
        <f ca="1">IF(ROW()-MATCH(NDVImax,INDEX(D:D,Lig_min,1):INDEX(D:D,Lig_max,1),0)-Lig_min+1&gt;0,MAX(MIN(Zr_min+MAX(INDEX(G:G,Lig_min,1):INDEX(G:G,Lig_max,1))/MAX(MAX(INDEX(G:G,Lig_min,1):INDEX(G:G,Lig_max,1)),Max_fc_pour_Zrmax)*(Zr_max-Zr_min),Zr_max),Ze+0.001),MAX(MIN(Zr_min+G60/MAX(MAX(INDEX(G:G,Lig_min,1):INDEX(G:G,Lig_max,1)),Max_fc_pour_Zrmax)*(Zr_max-Zr_min),Zr_max),Ze+0.001))</f>
        <v>339.573567778613</v>
      </c>
      <c r="Q60" s="35">
        <f ca="1">IF(Z_sol&gt;0,Z_sol-P60,0.1)</f>
        <v>274.300983285821</v>
      </c>
      <c r="R60" s="35">
        <f ca="1">(Wfc-Wwp)*P60</f>
        <v>44.1445638112196</v>
      </c>
      <c r="S60" s="35">
        <f ca="1">(Wfc-Wwp)*Q60</f>
        <v>35.6591278271568</v>
      </c>
      <c r="T60" s="99">
        <f ca="1" t="shared" si="9"/>
        <v>0.949105271614854</v>
      </c>
      <c r="U60" s="99">
        <f ca="1" t="shared" si="10"/>
        <v>0.181870570989386</v>
      </c>
      <c r="V60" s="99">
        <f ca="1">IF(P60&gt;P59,IF(Q60&gt;1,MAX(AI59+(Wfc-Wwp)*(P60-P59)*AJ59/S59,0),AI59/P59*P60),MAX(AI59+(Wfc-Wwp)*(P60-P59)*AI59/R59,0))</f>
        <v>2.07697364624209</v>
      </c>
      <c r="W60" s="99">
        <f ca="1">IF(S60&gt;1,IF(P60&gt;P59,MAX(AJ59-(Wfc-Wwp)*(P60-P59)*AJ59/S59,0),MAX(AJ59-(Wfc-Wwp)*(P60-P59)*AI59/R59,0)),0)</f>
        <v>1.28972319357538</v>
      </c>
      <c r="X60" s="99">
        <f ca="1">IF(AND(OR(AND(dec_vide_TAW&lt;0,V60&gt;R60*(p+0.04*(5-I59))),AND(dec_vide_TAW&gt;0,V60&gt;R60*dec_vide_TAW)),H60&gt;MAX(INDEX(H:H,Lig_min,1):INDEX(H:H,ROW(X60),1))*Kcbmax_stop_irrig*IF(ROW(X60)-lig_kcbmax&gt;0,1,0),MIN(INDEX(H:H,ROW(X60),1):INDEX(H:H,lig_kcbmax,1))&gt;Kcbmin_start_irrig),MIN(MAX(V60-E60*Irri_man-C60,0),Lame_max),0)</f>
        <v>0</v>
      </c>
      <c r="Y60" s="99">
        <f ca="1">MIN(MAX(T60-C60-IF(fw&gt;0,X60/fw*Irri_auto+E60/fw*Irri_man,0),0),TEW)</f>
        <v>0.949105271614854</v>
      </c>
      <c r="Z60" s="99">
        <f ca="1">MIN(MAX(U60-C60,0),TEW)</f>
        <v>0.181870570989386</v>
      </c>
      <c r="AA60" s="99">
        <f ca="1">MIN(MAX(V60-C60-(X60*Irri_auto+E60*Irri_man),0),R60)</f>
        <v>2.07697364624209</v>
      </c>
      <c r="AB60" s="99">
        <f ca="1">MIN(MAX(W60+MIN(V60-C60-(X60*Irri_auto+E60*Irri_man),0),0),S60)</f>
        <v>1.28972319357538</v>
      </c>
      <c r="AC60" s="99">
        <f ca="1">-MIN(W60+MIN(V60-C60-(X60*Irri_auto+E60*Irri_man),0),0)</f>
        <v>0</v>
      </c>
      <c r="AD60" s="39">
        <f ca="1">IF(((R60-AA60)/P60-((Wfc-Wwp)*Ze-Y60)/Ze)/Wfc*DiffE&lt;0,MAX(((R60-AA60)/P60-((Wfc-Wwp)*Ze-Y60)/Ze)/Wfc*DiffE,(R60*Ze-((Wfc-Wwp)*Ze-Y60-AA60)*P60)/(P60+Ze)-AA60),MIN(((R60-AA60)/P60-((Wfc-Wwp)*Ze-Y60)/Ze)/Wfc*DiffE,(R60*Ze-((Wfc-Wwp)*Ze-Y60-AA60)*P60)/(P60+Ze)-AA60))</f>
        <v>3.6910621700887e-9</v>
      </c>
      <c r="AE60" s="39">
        <f ca="1">IF(((R60-AA60)/P60-((Wfc-Wwp)*Ze-Z60)/Ze)/Wfc*DiffE&lt;0,MAX(((R60-AA60)/P60-((Wfc-Wwp)*Ze-Z60)/Ze)/Wfc*DiffE,(R60*Ze-((Wfc-Wwp)*Ze-Z60-AA60)*P60)/(P60+Ze)-AA60),MIN(((R60-AA60)/P60-((Wfc-Wwp)*Ze-Z60)/Ze)/Wfc*DiffE,(R60*Ze-((Wfc-Wwp)*Ze-Z60-AA60)*P60)/(P60+Ze)-AA60))</f>
        <v>-1.16536318424207e-8</v>
      </c>
      <c r="AF60" s="39">
        <f ca="1">IF(((S60-AB60)/Q60-(R60-AA60)/P60)/Wfc*DiffR&lt;0,MAX(((S60-AB60)/Q60-(R60-AA60)/P60)/Wfc*DiffR,(S60*P60-(R60-AA60-AB60)*Q60)/(P60+Q60)-AB60),MIN(((S60-AB60)/Q60-(R60-AA60)/P60)/Wfc*DiffR,(S60*P60-(R60-AA60-AB60)*Q60)/(P60+Q60)-AB60))</f>
        <v>3.53640809716151e-9</v>
      </c>
      <c r="AG60" s="99">
        <f ca="1">MIN(MAX(Y60+IF(AU60&gt;0,B60*AZ60/AU60,0)+BE60-AD60,0),TEW)</f>
        <v>1.12673847752913</v>
      </c>
      <c r="AH60" s="99">
        <f ca="1">MIN(MAX(Z60+IF(AV60&gt;0,B60*BA60/AV60,0)+BF60-AE60,0),TEW)</f>
        <v>0.302921559882127</v>
      </c>
      <c r="AI60" s="99">
        <f ca="1" t="shared" si="1"/>
        <v>2.32056107065892</v>
      </c>
      <c r="AJ60" s="99">
        <f ca="1" t="shared" si="2"/>
        <v>1.28972319711179</v>
      </c>
      <c r="AK60" s="70">
        <f ca="1">IF((AU60+AV60)&gt;0,(TEW-(AG60*AU60+AH60*AV60)/(AU60+AV60))/TEW,(TEW-(AG60+AH60)/2)/TEW)</f>
        <v>0.965985253508555</v>
      </c>
      <c r="AL60" s="70">
        <f ca="1" t="shared" si="3"/>
        <v>0.947432687735174</v>
      </c>
      <c r="AM60" s="70">
        <f ca="1" t="shared" si="4"/>
        <v>0.963831891700683</v>
      </c>
      <c r="AN60" s="70">
        <f ca="1">Wwp+(Wfc-Wwp)*IF((AU60+AV60)&gt;0,(TEW-(AG60*AU60+AH60*AV60)/(AU60+AV60))/TEW,(TEW-(AG60+AH60)/2)/TEW)</f>
        <v>0.395578082956112</v>
      </c>
      <c r="AO60" s="70">
        <f ca="1">Wwp+(Wfc-Wwp)*(R60-AI60)/R60</f>
        <v>0.393166249405573</v>
      </c>
      <c r="AP60" s="70">
        <f ca="1">Wwp+(Wfc-Wwp)*(S60-AJ60)/S60</f>
        <v>0.395298145921089</v>
      </c>
      <c r="AQ60" s="70"/>
      <c r="AR60" s="70"/>
      <c r="AS60" s="70"/>
      <c r="AT60" s="70"/>
      <c r="AU60" s="70">
        <f ca="1">MIN((1-G60),fw)</f>
        <v>0.544</v>
      </c>
      <c r="AV60" s="70">
        <f ca="1" t="shared" si="5"/>
        <v>0</v>
      </c>
      <c r="AW60" s="70">
        <f ca="1">MIN((TEW-Y60)/(TEW-REW),1)</f>
        <v>0.12363139517164</v>
      </c>
      <c r="AX60" s="70">
        <f ca="1">MIN((TEW-Z60)/(TEW-REW),1)</f>
        <v>0.126579387675443</v>
      </c>
      <c r="AY60" s="70">
        <f ca="1">IF((AU60*(TEW-Y60))&gt;0,1/(1+((AV60*(TEW-Z60))/(AU60*(TEW-Y60)))),0)</f>
        <v>1</v>
      </c>
      <c r="AZ60" s="70">
        <f ca="1">MIN((AY60*AW60*(Kcmax-H60)),AU60*Kcmax)</f>
        <v>0.0786238435045317</v>
      </c>
      <c r="BA60" s="70">
        <f ca="1">MIN(((1-AY60)*AX60*(Kcmax-H60)),AV60*Kcmax)</f>
        <v>0</v>
      </c>
      <c r="BB60" s="70">
        <f ca="1" t="shared" si="6"/>
        <v>0.0323143996803625</v>
      </c>
      <c r="BC60" s="70">
        <f ca="1">MIN((R60-AA60)/(R60*(1-(p+0.04*(5-I59)))),1)</f>
        <v>1</v>
      </c>
      <c r="BD60" s="10">
        <f ca="1" t="shared" si="7"/>
        <v>0.211273028272878</v>
      </c>
      <c r="BE60" s="70">
        <f ca="1">MIN(IF((1-AA60/R60)&gt;0,(1-Y60/TEW)/(1-AA60/R60)*(Ze/P60)^0.6,0),1)*BC60*H60*B60</f>
        <v>0.11823173960467</v>
      </c>
      <c r="BF60" s="70">
        <f ca="1">MIN(IF((1-AA60/R60)&gt;0,(1-Z60/TEW)/(1-AA60/R60)*(Ze/P60)^0.6,0),1)*BC60*H60*B60</f>
        <v>0.121050977239109</v>
      </c>
      <c r="BH60" s="10">
        <f ca="1" t="shared" si="8"/>
        <v>0.000220824713259295</v>
      </c>
      <c r="BI60" s="10">
        <f ca="1">IF(F60&lt;&gt;"",(Moy_Etobs-F60)^2,"")</f>
        <v>1.82364760662911</v>
      </c>
    </row>
    <row r="61" spans="1:61">
      <c r="A61" s="38">
        <v>39054</v>
      </c>
      <c r="B61" s="10">
        <v>0.407</v>
      </c>
      <c r="C61" s="39">
        <v>0.99</v>
      </c>
      <c r="D61" s="10">
        <v>0.495</v>
      </c>
      <c r="E61" s="39">
        <v>0</v>
      </c>
      <c r="F61" s="10">
        <v>0.4956462</v>
      </c>
      <c r="G61" s="10">
        <f ca="1">MIN(MAX(IF(AND(Durpla&gt;ROW()-MATCH(NDVImax,INDEX(D:D,Lig_min,1):INDEX(D:D,Lig_max,1),0)-Lig_min+1,ROW()-MATCH(NDVImax,INDEX(D:D,Lig_min,1):INDEX(D:D,Lig_max,1),0)-Lig_min+1&gt;0,D61*a_fc+b_fc&gt;fc_fin),NDVImax*a_fc+b_fc,D61*a_fc+b_fc),0),1)</f>
        <v>0.46</v>
      </c>
      <c r="H61" s="55">
        <f>MIN(MAX(D61*a_kcb+b_kcb,0),Kcmax)</f>
        <v>0.518555475549173</v>
      </c>
      <c r="I61" s="70">
        <f ca="1" t="shared" si="0"/>
        <v>0.243627285061928</v>
      </c>
      <c r="O61" s="55"/>
      <c r="P61" s="35">
        <f ca="1">IF(ROW()-MATCH(NDVImax,INDEX(D:D,Lig_min,1):INDEX(D:D,Lig_max,1),0)-Lig_min+1&gt;0,MAX(MIN(Zr_min+MAX(INDEX(G:G,Lig_min,1):INDEX(G:G,Lig_max,1))/MAX(MAX(INDEX(G:G,Lig_min,1):INDEX(G:G,Lig_max,1)),Max_fc_pour_Zrmax)*(Zr_max-Zr_min),Zr_max),Ze+0.001),MAX(MIN(Zr_min+G61/MAX(MAX(INDEX(G:G,Lig_min,1):INDEX(G:G,Lig_max,1)),Max_fc_pour_Zrmax)*(Zr_max-Zr_min),Zr_max),Ze+0.001))</f>
        <v>341.455792057372</v>
      </c>
      <c r="Q61" s="35">
        <f ca="1">IF(Z_sol&gt;0,Z_sol-P61,0.1)</f>
        <v>272.418759007062</v>
      </c>
      <c r="R61" s="35">
        <f ca="1">(Wfc-Wwp)*P61</f>
        <v>44.3892529674584</v>
      </c>
      <c r="S61" s="35">
        <f ca="1">(Wfc-Wwp)*Q61</f>
        <v>35.414438670918</v>
      </c>
      <c r="T61" s="99">
        <f ca="1" t="shared" si="9"/>
        <v>1.12673847752913</v>
      </c>
      <c r="U61" s="99">
        <f ca="1" t="shared" si="10"/>
        <v>0.302921559882127</v>
      </c>
      <c r="V61" s="99">
        <f ca="1">IF(P61&gt;P60,IF(Q61&gt;1,MAX(AI60+(Wfc-Wwp)*(P61-P60)*AJ60/S60,0),AI60/P60*P61),MAX(AI60+(Wfc-Wwp)*(P61-P60)*AI60/R60,0))</f>
        <v>2.32941101456143</v>
      </c>
      <c r="W61" s="99">
        <f ca="1">IF(S61&gt;1,IF(P61&gt;P60,MAX(AJ60-(Wfc-Wwp)*(P61-P60)*AJ60/S60,0),MAX(AJ60-(Wfc-Wwp)*(P61-P60)*AI60/R60,0)),0)</f>
        <v>1.28087325320928</v>
      </c>
      <c r="X61" s="99">
        <f ca="1">IF(AND(OR(AND(dec_vide_TAW&lt;0,V61&gt;R61*(p+0.04*(5-I60))),AND(dec_vide_TAW&gt;0,V61&gt;R61*dec_vide_TAW)),H61&gt;MAX(INDEX(H:H,Lig_min,1):INDEX(H:H,ROW(X61),1))*Kcbmax_stop_irrig*IF(ROW(X61)-lig_kcbmax&gt;0,1,0),MIN(INDEX(H:H,ROW(X61),1):INDEX(H:H,lig_kcbmax,1))&gt;Kcbmin_start_irrig),MIN(MAX(V61-E61*Irri_man-C61,0),Lame_max),0)</f>
        <v>0</v>
      </c>
      <c r="Y61" s="99">
        <f ca="1">MIN(MAX(T61-C61-IF(fw&gt;0,X61/fw*Irri_auto+E61/fw*Irri_man,0),0),TEW)</f>
        <v>0.136738477529128</v>
      </c>
      <c r="Z61" s="99">
        <f ca="1">MIN(MAX(U61-C61,0),TEW)</f>
        <v>0</v>
      </c>
      <c r="AA61" s="99">
        <f ca="1">MIN(MAX(V61-C61-(X61*Irri_auto+E61*Irri_man),0),R61)</f>
        <v>1.33941101456143</v>
      </c>
      <c r="AB61" s="99">
        <f ca="1">MIN(MAX(W61+MIN(V61-C61-(X61*Irri_auto+E61*Irri_man),0),0),S61)</f>
        <v>1.28087325320928</v>
      </c>
      <c r="AC61" s="99">
        <f ca="1">-MIN(W61+MIN(V61-C61-(X61*Irri_auto+E61*Irri_man),0),0)</f>
        <v>0</v>
      </c>
      <c r="AD61" s="39">
        <f ca="1">IF(((R61-AA61)/P61-((Wfc-Wwp)*Ze-Y61)/Ze)/Wfc*DiffE&lt;0,MAX(((R61-AA61)/P61-((Wfc-Wwp)*Ze-Y61)/Ze)/Wfc*DiffE,(R61*Ze-((Wfc-Wwp)*Ze-Y61-AA61)*P61)/(P61+Ze)-AA61),MIN(((R61-AA61)/P61-((Wfc-Wwp)*Ze-Y61)/Ze)/Wfc*DiffE,(R61*Ze-((Wfc-Wwp)*Ze-Y61-AA61)*P61)/(P61+Ze)-AA61))</f>
        <v>-7.07185143606903e-9</v>
      </c>
      <c r="AE61" s="39">
        <f ca="1">IF(((R61-AA61)/P61-((Wfc-Wwp)*Ze-Z61)/Ze)/Wfc*DiffE&lt;0,MAX(((R61-AA61)/P61-((Wfc-Wwp)*Ze-Z61)/Ze)/Wfc*DiffE,(R61*Ze-((Wfc-Wwp)*Ze-Z61-AA61)*P61)/(P61+Ze)-AA61),MIN(((R61-AA61)/P61-((Wfc-Wwp)*Ze-Z61)/Ze)/Wfc*DiffE,(R61*Ze-((Wfc-Wwp)*Ze-Z61-AA61)*P61)/(P61+Ze)-AA61))</f>
        <v>-9.8066209866516e-9</v>
      </c>
      <c r="AF61" s="39">
        <f ca="1">IF(((S61-AB61)/Q61-(R61-AA61)/P61)/Wfc*DiffR&lt;0,MAX(((S61-AB61)/Q61-(R61-AA61)/P61)/Wfc*DiffR,(S61*P61-(R61-AA61-AB61)*Q61)/(P61+Q61)-AB61),MIN(((S61-AB61)/Q61-(R61-AA61)/P61)/Wfc*DiffR,(S61*P61-(R61-AA61-AB61)*Q61)/(P61+Q61)-AB61))</f>
        <v>-1.94801421062644e-9</v>
      </c>
      <c r="AG61" s="99">
        <f ca="1">MIN(MAX(Y61+IF(AU61&gt;0,B61*AZ61/AU61,0)+BE61-AD61,0),TEW)</f>
        <v>0.315652039688705</v>
      </c>
      <c r="AH61" s="99">
        <f ca="1">MIN(MAX(Z61+IF(AV61&gt;0,B61*BA61/AV61,0)+BF61-AE61,0),TEW)</f>
        <v>0.119080667871404</v>
      </c>
      <c r="AI61" s="99">
        <f ca="1" t="shared" si="1"/>
        <v>1.58303830157137</v>
      </c>
      <c r="AJ61" s="99">
        <f ca="1" t="shared" si="2"/>
        <v>1.28087325126126</v>
      </c>
      <c r="AK61" s="70">
        <f ca="1">IF((AU61+AV61)&gt;0,(TEW-(AG61*AU61+AH61*AV61)/(AU61+AV61))/TEW,(TEW-(AG61+AH61)/2)/TEW)</f>
        <v>0.990470881820718</v>
      </c>
      <c r="AL61" s="70">
        <f ca="1" t="shared" si="3"/>
        <v>0.964337352044832</v>
      </c>
      <c r="AM61" s="70">
        <f ca="1" t="shared" si="4"/>
        <v>0.963831891755689</v>
      </c>
      <c r="AN61" s="70">
        <f ca="1">Wwp+(Wfc-Wwp)*IF((AU61+AV61)&gt;0,(TEW-(AG61*AU61+AH61*AV61)/(AU61+AV61))/TEW,(TEW-(AG61+AH61)/2)/TEW)</f>
        <v>0.398761214636693</v>
      </c>
      <c r="AO61" s="70">
        <f ca="1">Wwp+(Wfc-Wwp)*(R61-AI61)/R61</f>
        <v>0.395363855765828</v>
      </c>
      <c r="AP61" s="70">
        <f ca="1">Wwp+(Wfc-Wwp)*(S61-AJ61)/S61</f>
        <v>0.39529814592824</v>
      </c>
      <c r="AQ61" s="70"/>
      <c r="AR61" s="70"/>
      <c r="AS61" s="70"/>
      <c r="AT61" s="70"/>
      <c r="AU61" s="70">
        <f ca="1">MIN((1-G61),fw)</f>
        <v>0.54</v>
      </c>
      <c r="AV61" s="70">
        <f ca="1" t="shared" si="5"/>
        <v>0</v>
      </c>
      <c r="AW61" s="70">
        <f ca="1">MIN((TEW-Y61)/(TEW-REW),1)</f>
        <v>0.12675280146016</v>
      </c>
      <c r="AX61" s="70">
        <f ca="1">MIN((TEW-Z61)/(TEW-REW),1)</f>
        <v>0.12727820001996</v>
      </c>
      <c r="AY61" s="70">
        <f ca="1">IF((AU61*(TEW-Y61))&gt;0,1/(1+((AV61*(TEW-Z61))/(AU61*(TEW-Y61)))),0)</f>
        <v>1</v>
      </c>
      <c r="AZ61" s="70">
        <f ca="1">MIN((AY61*AW61*(Kcmax-H61)),AU61*Kcmax)</f>
        <v>0.0800373624408209</v>
      </c>
      <c r="BA61" s="70">
        <f ca="1">MIN(((1-AY61)*AX61*(Kcmax-H61)),AV61*Kcmax)</f>
        <v>0</v>
      </c>
      <c r="BB61" s="70">
        <f ca="1" t="shared" si="6"/>
        <v>0.0325752065134141</v>
      </c>
      <c r="BC61" s="70">
        <f ca="1">MIN((R61-AA61)/(R61*(1-(p+0.04*(5-I60)))),1)</f>
        <v>1</v>
      </c>
      <c r="BD61" s="10">
        <f ca="1" t="shared" si="7"/>
        <v>0.211052078548513</v>
      </c>
      <c r="BE61" s="70">
        <f ca="1">MIN(IF((1-AA61/R61)&gt;0,(1-Y61/TEW)/(1-AA61/R61)*(Ze/P61)^0.6,0),1)*BC61*H61*B61</f>
        <v>0.118589098581404</v>
      </c>
      <c r="BF61" s="70">
        <f ca="1">MIN(IF((1-AA61/R61)&gt;0,(1-Z61/TEW)/(1-AA61/R61)*(Ze/P61)^0.6,0),1)*BC61*H61*B61</f>
        <v>0.119080658064783</v>
      </c>
      <c r="BH61" s="10">
        <f ca="1" t="shared" si="8"/>
        <v>0.0635135334865634</v>
      </c>
      <c r="BI61" s="10">
        <f ca="1">IF(F61&lt;&gt;"",(Moy_Etobs-F61)^2,"")</f>
        <v>1.23927295665825</v>
      </c>
    </row>
    <row r="62" spans="1:61">
      <c r="A62" s="38">
        <v>39055</v>
      </c>
      <c r="B62" s="10">
        <v>0.73</v>
      </c>
      <c r="C62" s="39">
        <v>0.198</v>
      </c>
      <c r="D62" s="10">
        <v>0.498</v>
      </c>
      <c r="E62" s="39">
        <v>0</v>
      </c>
      <c r="F62" s="10">
        <v>0.825138</v>
      </c>
      <c r="G62" s="10">
        <f ca="1">MIN(MAX(IF(AND(Durpla&gt;ROW()-MATCH(NDVImax,INDEX(D:D,Lig_min,1):INDEX(D:D,Lig_max,1),0)-Lig_min+1,ROW()-MATCH(NDVImax,INDEX(D:D,Lig_min,1):INDEX(D:D,Lig_max,1),0)-Lig_min+1&gt;0,D62*a_fc+b_fc&gt;fc_fin),NDVImax*a_fc+b_fc,D62*a_fc+b_fc),0),1)</f>
        <v>0.464</v>
      </c>
      <c r="H62" s="55">
        <f>MIN(MAX(D62*a_kcb+b_kcb,0),Kcmax)</f>
        <v>0.523064653597427</v>
      </c>
      <c r="I62" s="70">
        <f ca="1" t="shared" si="0"/>
        <v>0.439880803122186</v>
      </c>
      <c r="O62" s="55"/>
      <c r="P62" s="35">
        <f ca="1">IF(ROW()-MATCH(NDVImax,INDEX(D:D,Lig_min,1):INDEX(D:D,Lig_max,1),0)-Lig_min+1&gt;0,MAX(MIN(Zr_min+MAX(INDEX(G:G,Lig_min,1):INDEX(G:G,Lig_max,1))/MAX(MAX(INDEX(G:G,Lig_min,1):INDEX(G:G,Lig_max,1)),Max_fc_pour_Zrmax)*(Zr_max-Zr_min),Zr_max),Ze+0.001),MAX(MIN(Zr_min+G62/MAX(MAX(INDEX(G:G,Lig_min,1):INDEX(G:G,Lig_max,1)),Max_fc_pour_Zrmax)*(Zr_max-Zr_min),Zr_max),Ze+0.001))</f>
        <v>343.338016336132</v>
      </c>
      <c r="Q62" s="35">
        <f ca="1">IF(Z_sol&gt;0,Z_sol-P62,0.1)</f>
        <v>270.536534728302</v>
      </c>
      <c r="R62" s="35">
        <f ca="1">(Wfc-Wwp)*P62</f>
        <v>44.6339421236972</v>
      </c>
      <c r="S62" s="35">
        <f ca="1">(Wfc-Wwp)*Q62</f>
        <v>35.1697495146792</v>
      </c>
      <c r="T62" s="99">
        <f ca="1" t="shared" si="9"/>
        <v>0.315652039688705</v>
      </c>
      <c r="U62" s="99">
        <f ca="1" t="shared" si="10"/>
        <v>0.119080667871404</v>
      </c>
      <c r="V62" s="99">
        <f ca="1">IF(P62&gt;P61,IF(Q62&gt;1,MAX(AI61+(Wfc-Wwp)*(P62-P61)*AJ61/S61,0),AI61/P61*P62),MAX(AI61+(Wfc-Wwp)*(P62-P61)*AI61/R61,0))</f>
        <v>1.59188824546043</v>
      </c>
      <c r="W62" s="99">
        <f ca="1">IF(S62&gt;1,IF(P62&gt;P61,MAX(AJ61-(Wfc-Wwp)*(P62-P61)*AJ61/S61,0),MAX(AJ61-(Wfc-Wwp)*(P62-P61)*AI61/R61,0)),0)</f>
        <v>1.27202330737221</v>
      </c>
      <c r="X62" s="99">
        <f ca="1">IF(AND(OR(AND(dec_vide_TAW&lt;0,V62&gt;R62*(p+0.04*(5-I61))),AND(dec_vide_TAW&gt;0,V62&gt;R62*dec_vide_TAW)),H62&gt;MAX(INDEX(H:H,Lig_min,1):INDEX(H:H,ROW(X62),1))*Kcbmax_stop_irrig*IF(ROW(X62)-lig_kcbmax&gt;0,1,0),MIN(INDEX(H:H,ROW(X62),1):INDEX(H:H,lig_kcbmax,1))&gt;Kcbmin_start_irrig),MIN(MAX(V62-E62*Irri_man-C62,0),Lame_max),0)</f>
        <v>0</v>
      </c>
      <c r="Y62" s="99">
        <f ca="1">MIN(MAX(T62-C62-IF(fw&gt;0,X62/fw*Irri_auto+E62/fw*Irri_man,0),0),TEW)</f>
        <v>0.117652039688705</v>
      </c>
      <c r="Z62" s="99">
        <f ca="1">MIN(MAX(U62-C62,0),TEW)</f>
        <v>0</v>
      </c>
      <c r="AA62" s="99">
        <f ca="1">MIN(MAX(V62-C62-(X62*Irri_auto+E62*Irri_man),0),R62)</f>
        <v>1.39388824546043</v>
      </c>
      <c r="AB62" s="99">
        <f ca="1">MIN(MAX(W62+MIN(V62-C62-(X62*Irri_auto+E62*Irri_man),0),0),S62)</f>
        <v>1.27202330737221</v>
      </c>
      <c r="AC62" s="99">
        <f ca="1">-MIN(W62+MIN(V62-C62-(X62*Irri_auto+E62*Irri_man),0),0)</f>
        <v>0</v>
      </c>
      <c r="AD62" s="39">
        <f ca="1">IF(((R62-AA62)/P62-((Wfc-Wwp)*Ze-Y62)/Ze)/Wfc*DiffE&lt;0,MAX(((R62-AA62)/P62-((Wfc-Wwp)*Ze-Y62)/Ze)/Wfc*DiffE,(R62*Ze-((Wfc-Wwp)*Ze-Y62-AA62)*P62)/(P62+Ze)-AA62),MIN(((R62-AA62)/P62-((Wfc-Wwp)*Ze-Y62)/Ze)/Wfc*DiffE,(R62*Ze-((Wfc-Wwp)*Ze-Y62-AA62)*P62)/(P62+Ze)-AA62))</f>
        <v>-7.79649245872621e-9</v>
      </c>
      <c r="AE62" s="39">
        <f ca="1">IF(((R62-AA62)/P62-((Wfc-Wwp)*Ze-Z62)/Ze)/Wfc*DiffE&lt;0,MAX(((R62-AA62)/P62-((Wfc-Wwp)*Ze-Z62)/Ze)/Wfc*DiffE,(R62*Ze-((Wfc-Wwp)*Ze-Z62-AA62)*P62)/(P62+Ze)-AA62),MIN(((R62-AA62)/P62-((Wfc-Wwp)*Ze-Z62)/Ze)/Wfc*DiffE,(R62*Ze-((Wfc-Wwp)*Ze-Z62-AA62)*P62)/(P62+Ze)-AA62))</f>
        <v>-1.01495332525003e-8</v>
      </c>
      <c r="AF62" s="39">
        <f ca="1">IF(((S62-AB62)/Q62-(R62-AA62)/P62)/Wfc*DiffR&lt;0,MAX(((S62-AB62)/Q62-(R62-AA62)/P62)/Wfc*DiffR,(S62*P62-(R62-AA62-AB62)*Q62)/(P62+Q62)-AB62),MIN(((S62-AB62)/Q62-(R62-AA62)/P62)/Wfc*DiffR,(S62*P62-(R62-AA62-AB62)*Q62)/(P62+Q62)-AB62))</f>
        <v>-1.60510192690068e-9</v>
      </c>
      <c r="AG62" s="99">
        <f ca="1">MIN(MAX(Y62+IF(AU62&gt;0,B62*AZ62/AU62,0)+BE62-AD62,0),TEW)</f>
        <v>0.440145021848565</v>
      </c>
      <c r="AH62" s="99">
        <f ca="1">MIN(MAX(Z62+IF(AV62&gt;0,B62*BA62/AV62,0)+BF62-AE62,0),TEW)</f>
        <v>0.214966183005939</v>
      </c>
      <c r="AI62" s="99">
        <f ca="1" t="shared" si="1"/>
        <v>1.83376905018771</v>
      </c>
      <c r="AJ62" s="99">
        <f ca="1" t="shared" si="2"/>
        <v>1.27202330576711</v>
      </c>
      <c r="AK62" s="70">
        <f ca="1">IF((AU62+AV62)&gt;0,(TEW-(AG62*AU62+AH62*AV62)/(AU62+AV62))/TEW,(TEW-(AG62+AH62)/2)/TEW)</f>
        <v>0.986712603114006</v>
      </c>
      <c r="AL62" s="70">
        <f ca="1" t="shared" si="3"/>
        <v>0.958915368821655</v>
      </c>
      <c r="AM62" s="70">
        <f ca="1" t="shared" si="4"/>
        <v>0.963831891801328</v>
      </c>
      <c r="AN62" s="70">
        <f ca="1">Wwp+(Wfc-Wwp)*IF((AU62+AV62)&gt;0,(TEW-(AG62*AU62+AH62*AV62)/(AU62+AV62))/TEW,(TEW-(AG62+AH62)/2)/TEW)</f>
        <v>0.398272638404821</v>
      </c>
      <c r="AO62" s="70">
        <f ca="1">Wwp+(Wfc-Wwp)*(R62-AI62)/R62</f>
        <v>0.394658997946815</v>
      </c>
      <c r="AP62" s="70">
        <f ca="1">Wwp+(Wfc-Wwp)*(S62-AJ62)/S62</f>
        <v>0.395298145934173</v>
      </c>
      <c r="AQ62" s="70"/>
      <c r="AR62" s="70"/>
      <c r="AS62" s="70"/>
      <c r="AT62" s="70"/>
      <c r="AU62" s="70">
        <f ca="1">MIN((1-G62),fw)</f>
        <v>0.536</v>
      </c>
      <c r="AV62" s="70">
        <f ca="1" t="shared" si="5"/>
        <v>0</v>
      </c>
      <c r="AW62" s="70">
        <f ca="1">MIN((TEW-Y62)/(TEW-REW),1)</f>
        <v>0.126826138439877</v>
      </c>
      <c r="AX62" s="70">
        <f ca="1">MIN((TEW-Z62)/(TEW-REW),1)</f>
        <v>0.12727820001996</v>
      </c>
      <c r="AY62" s="70">
        <f ca="1">IF((AU62*(TEW-Y62))&gt;0,1/(1+((AV62*(TEW-Z62))/(AU62*(TEW-Y62)))),0)</f>
        <v>1</v>
      </c>
      <c r="AZ62" s="70">
        <f ca="1">MIN((AY62*AW62*(Kcmax-H62)),AU62*Kcmax)</f>
        <v>0.0795117890357051</v>
      </c>
      <c r="BA62" s="70">
        <f ca="1">MIN(((1-AY62)*AX62*(Kcmax-H62)),AV62*Kcmax)</f>
        <v>0</v>
      </c>
      <c r="BB62" s="70">
        <f ca="1" t="shared" si="6"/>
        <v>0.0580436059960647</v>
      </c>
      <c r="BC62" s="70">
        <f ca="1">MIN((R62-AA62)/(R62*(1-(p+0.04*(5-I61)))),1)</f>
        <v>1</v>
      </c>
      <c r="BD62" s="10">
        <f ca="1" t="shared" si="7"/>
        <v>0.381837197126122</v>
      </c>
      <c r="BE62" s="70">
        <f ca="1">MIN(IF((1-AA62/R62)&gt;0,(1-Y62/TEW)/(1-AA62/R62)*(Ze/P62)^0.6,0),1)*BC62*H62*B62</f>
        <v>0.214202664669217</v>
      </c>
      <c r="BF62" s="70">
        <f ca="1">MIN(IF((1-AA62/R62)&gt;0,(1-Z62/TEW)/(1-AA62/R62)*(Ze/P62)^0.6,0),1)*BC62*H62*B62</f>
        <v>0.214966172856406</v>
      </c>
      <c r="BH62" s="10">
        <f ca="1" t="shared" si="8"/>
        <v>0.148423107746151</v>
      </c>
      <c r="BI62" s="10">
        <f ca="1">IF(F62&lt;&gt;"",(Moy_Etobs-F62)^2,"")</f>
        <v>0.614239880292798</v>
      </c>
    </row>
    <row r="63" spans="1:61">
      <c r="A63" s="38">
        <v>39056</v>
      </c>
      <c r="B63" s="10">
        <v>0.665</v>
      </c>
      <c r="C63" s="39">
        <v>0</v>
      </c>
      <c r="D63" s="10">
        <v>0.501</v>
      </c>
      <c r="E63" s="39">
        <v>0</v>
      </c>
      <c r="F63" s="10">
        <v>0.713457</v>
      </c>
      <c r="G63" s="10">
        <f ca="1">MIN(MAX(IF(AND(Durpla&gt;ROW()-MATCH(NDVImax,INDEX(D:D,Lig_min,1):INDEX(D:D,Lig_max,1),0)-Lig_min+1,ROW()-MATCH(NDVImax,INDEX(D:D,Lig_min,1):INDEX(D:D,Lig_max,1),0)-Lig_min+1&gt;0,D63*a_fc+b_fc&gt;fc_fin),NDVImax*a_fc+b_fc,D63*a_fc+b_fc),0),1)</f>
        <v>0.468</v>
      </c>
      <c r="H63" s="55">
        <f>MIN(MAX(D63*a_kcb+b_kcb,0),Kcmax)</f>
        <v>0.527573831645681</v>
      </c>
      <c r="I63" s="70">
        <f ca="1" t="shared" si="0"/>
        <v>0.40281874213683</v>
      </c>
      <c r="O63" s="55"/>
      <c r="P63" s="35">
        <f ca="1">IF(ROW()-MATCH(NDVImax,INDEX(D:D,Lig_min,1):INDEX(D:D,Lig_max,1),0)-Lig_min+1&gt;0,MAX(MIN(Zr_min+MAX(INDEX(G:G,Lig_min,1):INDEX(G:G,Lig_max,1))/MAX(MAX(INDEX(G:G,Lig_min,1):INDEX(G:G,Lig_max,1)),Max_fc_pour_Zrmax)*(Zr_max-Zr_min),Zr_max),Ze+0.001),MAX(MIN(Zr_min+G63/MAX(MAX(INDEX(G:G,Lig_min,1):INDEX(G:G,Lig_max,1)),Max_fc_pour_Zrmax)*(Zr_max-Zr_min),Zr_max),Ze+0.001))</f>
        <v>345.220240614892</v>
      </c>
      <c r="Q63" s="35">
        <f ca="1">IF(Z_sol&gt;0,Z_sol-P63,0.1)</f>
        <v>268.654310449542</v>
      </c>
      <c r="R63" s="35">
        <f ca="1">(Wfc-Wwp)*P63</f>
        <v>44.878631279936</v>
      </c>
      <c r="S63" s="35">
        <f ca="1">(Wfc-Wwp)*Q63</f>
        <v>34.9250603584405</v>
      </c>
      <c r="T63" s="99">
        <f ca="1" t="shared" si="9"/>
        <v>0.440145021848565</v>
      </c>
      <c r="U63" s="99">
        <f ca="1" t="shared" si="10"/>
        <v>0.214966183005939</v>
      </c>
      <c r="V63" s="99">
        <f ca="1">IF(P63&gt;P62,IF(Q63&gt;1,MAX(AI62+(Wfc-Wwp)*(P63-P62)*AJ62/S62,0),AI62/P62*P63),MAX(AI62+(Wfc-Wwp)*(P63-P62)*AI62/R62,0))</f>
        <v>1.8426189940656</v>
      </c>
      <c r="W63" s="99">
        <f ca="1">IF(S63&gt;1,IF(P63&gt;P62,MAX(AJ62-(Wfc-Wwp)*(P63-P62)*AJ62/S62,0),MAX(AJ62-(Wfc-Wwp)*(P63-P62)*AI62/R62,0)),0)</f>
        <v>1.26317336188922</v>
      </c>
      <c r="X63" s="99">
        <f ca="1">IF(AND(OR(AND(dec_vide_TAW&lt;0,V63&gt;R63*(p+0.04*(5-I62))),AND(dec_vide_TAW&gt;0,V63&gt;R63*dec_vide_TAW)),H63&gt;MAX(INDEX(H:H,Lig_min,1):INDEX(H:H,ROW(X63),1))*Kcbmax_stop_irrig*IF(ROW(X63)-lig_kcbmax&gt;0,1,0),MIN(INDEX(H:H,ROW(X63),1):INDEX(H:H,lig_kcbmax,1))&gt;Kcbmin_start_irrig),MIN(MAX(V63-E63*Irri_man-C63,0),Lame_max),0)</f>
        <v>0</v>
      </c>
      <c r="Y63" s="99">
        <f ca="1">MIN(MAX(T63-C63-IF(fw&gt;0,X63/fw*Irri_auto+E63/fw*Irri_man,0),0),TEW)</f>
        <v>0.440145021848565</v>
      </c>
      <c r="Z63" s="99">
        <f ca="1">MIN(MAX(U63-C63,0),TEW)</f>
        <v>0.214966183005939</v>
      </c>
      <c r="AA63" s="99">
        <f ca="1">MIN(MAX(V63-C63-(X63*Irri_auto+E63*Irri_man),0),R63)</f>
        <v>1.8426189940656</v>
      </c>
      <c r="AB63" s="99">
        <f ca="1">MIN(MAX(W63+MIN(V63-C63-(X63*Irri_auto+E63*Irri_man),0),0),S63)</f>
        <v>1.26317336188922</v>
      </c>
      <c r="AC63" s="99">
        <f ca="1">-MIN(W63+MIN(V63-C63-(X63*Irri_auto+E63*Irri_man),0),0)</f>
        <v>0</v>
      </c>
      <c r="AD63" s="39">
        <f ca="1">IF(((R63-AA63)/P63-((Wfc-Wwp)*Ze-Y63)/Ze)/Wfc*DiffE&lt;0,MAX(((R63-AA63)/P63-((Wfc-Wwp)*Ze-Y63)/Ze)/Wfc*DiffE,(R63*Ze-((Wfc-Wwp)*Ze-Y63-AA63)*P63)/(P63+Ze)-AA63),MIN(((R63-AA63)/P63-((Wfc-Wwp)*Ze-Y63)/Ze)/Wfc*DiffE,(R63*Ze-((Wfc-Wwp)*Ze-Y63-AA63)*P63)/(P63+Ze)-AA63))</f>
        <v>-4.5408927223145e-9</v>
      </c>
      <c r="AE63" s="39">
        <f ca="1">IF(((R63-AA63)/P63-((Wfc-Wwp)*Ze-Z63)/Ze)/Wfc*DiffE&lt;0,MAX(((R63-AA63)/P63-((Wfc-Wwp)*Ze-Z63)/Ze)/Wfc*DiffE,(R63*Ze-((Wfc-Wwp)*Ze-Z63-AA63)*P63)/(P63+Ze)-AA63),MIN(((R63-AA63)/P63-((Wfc-Wwp)*Ze-Z63)/Ze)/Wfc*DiffE,(R63*Ze-((Wfc-Wwp)*Ze-Z63-AA63)*P63)/(P63+Ze)-AA63))</f>
        <v>-9.04446949916704e-9</v>
      </c>
      <c r="AF63" s="39">
        <f ca="1">IF(((S63-AB63)/Q63-(R63-AA63)/P63)/Wfc*DiffR&lt;0,MAX(((S63-AB63)/Q63-(R63-AA63)/P63)/Wfc*DiffR,(S63*P63-(R63-AA63-AB63)*Q63)/(P63+Q63)-AB63),MIN(((S63-AB63)/Q63-(R63-AA63)/P63)/Wfc*DiffR,(S63*P63-(R63-AA63-AB63)*Q63)/(P63+Q63)-AB63))</f>
        <v>1.58915799471741e-9</v>
      </c>
      <c r="AG63" s="99">
        <f ca="1">MIN(MAX(Y63+IF(AU63&gt;0,B63*AZ63/AU63,0)+BE63-AD63,0),TEW)</f>
        <v>0.734097571807275</v>
      </c>
      <c r="AH63" s="99">
        <f ca="1">MIN(MAX(Z63+IF(AV63&gt;0,B63*BA63/AV63,0)+BF63-AE63,0),TEW)</f>
        <v>0.412559926995287</v>
      </c>
      <c r="AI63" s="99">
        <f ca="1" t="shared" si="1"/>
        <v>2.24543773461327</v>
      </c>
      <c r="AJ63" s="99">
        <f ca="1" t="shared" si="2"/>
        <v>1.26317336347838</v>
      </c>
      <c r="AK63" s="70">
        <f ca="1">IF((AU63+AV63)&gt;0,(TEW-(AG63*AU63+AH63*AV63)/(AU63+AV63))/TEW,(TEW-(AG63+AH63)/2)/TEW)</f>
        <v>0.977838563869969</v>
      </c>
      <c r="AL63" s="70">
        <f ca="1" t="shared" si="3"/>
        <v>0.949966439025133</v>
      </c>
      <c r="AM63" s="70">
        <f ca="1" t="shared" si="4"/>
        <v>0.963831891755826</v>
      </c>
      <c r="AN63" s="70">
        <f ca="1">Wwp+(Wfc-Wwp)*IF((AU63+AV63)&gt;0,(TEW-(AG63*AU63+AH63*AV63)/(AU63+AV63))/TEW,(TEW-(AG63+AH63)/2)/TEW)</f>
        <v>0.397119013303096</v>
      </c>
      <c r="AO63" s="70">
        <f ca="1">Wwp+(Wfc-Wwp)*(R63-AI63)/R63</f>
        <v>0.393495637073267</v>
      </c>
      <c r="AP63" s="70">
        <f ca="1">Wwp+(Wfc-Wwp)*(S63-AJ63)/S63</f>
        <v>0.395298145928257</v>
      </c>
      <c r="AQ63" s="70"/>
      <c r="AR63" s="70"/>
      <c r="AS63" s="70"/>
      <c r="AT63" s="70"/>
      <c r="AU63" s="70">
        <f ca="1">MIN((1-G63),fw)</f>
        <v>0.532</v>
      </c>
      <c r="AV63" s="70">
        <f ca="1" t="shared" si="5"/>
        <v>0</v>
      </c>
      <c r="AW63" s="70">
        <f ca="1">MIN((TEW-Y63)/(TEW-REW),1)</f>
        <v>0.12558700406136</v>
      </c>
      <c r="AX63" s="70">
        <f ca="1">MIN((TEW-Z63)/(TEW-REW),1)</f>
        <v>0.126452222394657</v>
      </c>
      <c r="AY63" s="70">
        <f ca="1">IF((AU63*(TEW-Y63))&gt;0,1/(1+((AV63*(TEW-Z63))/(AU63*(TEW-Y63)))),0)</f>
        <v>1</v>
      </c>
      <c r="AZ63" s="70">
        <f ca="1">MIN((AY63*AW63*(Kcmax-H63)),AU63*Kcmax)</f>
        <v>0.0781686377330107</v>
      </c>
      <c r="BA63" s="70">
        <f ca="1">MIN(((1-AY63)*AX63*(Kcmax-H63)),AV63*Kcmax)</f>
        <v>0</v>
      </c>
      <c r="BB63" s="70">
        <f ca="1" t="shared" si="6"/>
        <v>0.0519821440924521</v>
      </c>
      <c r="BC63" s="70">
        <f ca="1">MIN((R63-AA63)/(R63*(1-(p+0.04*(5-I62)))),1)</f>
        <v>1</v>
      </c>
      <c r="BD63" s="10">
        <f ca="1" t="shared" si="7"/>
        <v>0.350836598044378</v>
      </c>
      <c r="BE63" s="70">
        <f ca="1">MIN(IF((1-AA63/R63)&gt;0,(1-Y63/TEW)/(1-AA63/R63)*(Ze/P63)^0.6,0),1)*BC63*H63*B63</f>
        <v>0.196241748251554</v>
      </c>
      <c r="BF63" s="70">
        <f ca="1">MIN(IF((1-AA63/R63)&gt;0,(1-Z63/TEW)/(1-AA63/R63)*(Ze/P63)^0.6,0),1)*BC63*H63*B63</f>
        <v>0.197593734944879</v>
      </c>
      <c r="BH63" s="10">
        <f ca="1" t="shared" si="8"/>
        <v>0.0964961272482655</v>
      </c>
      <c r="BI63" s="10">
        <f ca="1">IF(F63&lt;&gt;"",(Moy_Etobs-F63)^2,"")</f>
        <v>0.801769047659492</v>
      </c>
    </row>
    <row r="64" spans="1:61">
      <c r="A64" s="38">
        <v>39057</v>
      </c>
      <c r="B64" s="10">
        <v>0.655</v>
      </c>
      <c r="C64" s="39">
        <v>13.464</v>
      </c>
      <c r="D64" s="10">
        <v>0.504</v>
      </c>
      <c r="E64" s="39">
        <v>0</v>
      </c>
      <c r="F64" s="10">
        <v>0.753075</v>
      </c>
      <c r="G64" s="10">
        <f ca="1">MIN(MAX(IF(AND(Durpla&gt;ROW()-MATCH(NDVImax,INDEX(D:D,Lig_min,1):INDEX(D:D,Lig_max,1),0)-Lig_min+1,ROW()-MATCH(NDVImax,INDEX(D:D,Lig_min,1):INDEX(D:D,Lig_max,1),0)-Lig_min+1&gt;0,D64*a_fc+b_fc&gt;fc_fin),NDVImax*a_fc+b_fc,D64*a_fc+b_fc),0),1)</f>
        <v>0.472</v>
      </c>
      <c r="H64" s="55">
        <f>MIN(MAX(D64*a_kcb+b_kcb,0),Kcmax)</f>
        <v>0.532083009693934</v>
      </c>
      <c r="I64" s="70">
        <f ca="1" t="shared" si="0"/>
        <v>0.400028393648106</v>
      </c>
      <c r="O64" s="55"/>
      <c r="P64" s="35">
        <f ca="1">IF(ROW()-MATCH(NDVImax,INDEX(D:D,Lig_min,1):INDEX(D:D,Lig_max,1),0)-Lig_min+1&gt;0,MAX(MIN(Zr_min+MAX(INDEX(G:G,Lig_min,1):INDEX(G:G,Lig_max,1))/MAX(MAX(INDEX(G:G,Lig_min,1):INDEX(G:G,Lig_max,1)),Max_fc_pour_Zrmax)*(Zr_max-Zr_min),Zr_max),Ze+0.001),MAX(MIN(Zr_min+G64/MAX(MAX(INDEX(G:G,Lig_min,1):INDEX(G:G,Lig_max,1)),Max_fc_pour_Zrmax)*(Zr_max-Zr_min),Zr_max),Ze+0.001))</f>
        <v>347.102464893652</v>
      </c>
      <c r="Q64" s="35">
        <f ca="1">IF(Z_sol&gt;0,Z_sol-P64,0.1)</f>
        <v>266.772086170782</v>
      </c>
      <c r="R64" s="35">
        <f ca="1">(Wfc-Wwp)*P64</f>
        <v>45.1233204361747</v>
      </c>
      <c r="S64" s="35">
        <f ca="1">(Wfc-Wwp)*Q64</f>
        <v>34.6803712022017</v>
      </c>
      <c r="T64" s="99">
        <f ca="1" t="shared" si="9"/>
        <v>0.734097571807275</v>
      </c>
      <c r="U64" s="99">
        <f ca="1" t="shared" si="10"/>
        <v>0.412559926995287</v>
      </c>
      <c r="V64" s="99">
        <f ca="1">IF(P64&gt;P63,IF(Q64&gt;1,MAX(AI63+(Wfc-Wwp)*(P64-P63)*AJ63/S63,0),AI63/P63*P64),MAX(AI63+(Wfc-Wwp)*(P64-P63)*AI63/R63,0))</f>
        <v>2.25428767850229</v>
      </c>
      <c r="W64" s="99">
        <f ca="1">IF(S64&gt;1,IF(P64&gt;P63,MAX(AJ63-(Wfc-Wwp)*(P64-P63)*AJ63/S63,0),MAX(AJ63-(Wfc-Wwp)*(P64-P63)*AI63/R63,0)),0)</f>
        <v>1.25432341958936</v>
      </c>
      <c r="X64" s="99">
        <f ca="1">IF(AND(OR(AND(dec_vide_TAW&lt;0,V64&gt;R64*(p+0.04*(5-I63))),AND(dec_vide_TAW&gt;0,V64&gt;R64*dec_vide_TAW)),H64&gt;MAX(INDEX(H:H,Lig_min,1):INDEX(H:H,ROW(X64),1))*Kcbmax_stop_irrig*IF(ROW(X64)-lig_kcbmax&gt;0,1,0),MIN(INDEX(H:H,ROW(X64),1):INDEX(H:H,lig_kcbmax,1))&gt;Kcbmin_start_irrig),MIN(MAX(V64-E64*Irri_man-C64,0),Lame_max),0)</f>
        <v>0</v>
      </c>
      <c r="Y64" s="99">
        <f ca="1">MIN(MAX(T64-C64-IF(fw&gt;0,X64/fw*Irri_auto+E64/fw*Irri_man,0),0),TEW)</f>
        <v>0</v>
      </c>
      <c r="Z64" s="99">
        <f ca="1">MIN(MAX(U64-C64,0),TEW)</f>
        <v>0</v>
      </c>
      <c r="AA64" s="99">
        <f ca="1">MIN(MAX(V64-C64-(X64*Irri_auto+E64*Irri_man),0),R64)</f>
        <v>0</v>
      </c>
      <c r="AB64" s="99">
        <f ca="1">MIN(MAX(W64+MIN(V64-C64-(X64*Irri_auto+E64*Irri_man),0),0),S64)</f>
        <v>0</v>
      </c>
      <c r="AC64" s="99">
        <f ca="1">-MIN(W64+MIN(V64-C64-(X64*Irri_auto+E64*Irri_man),0),0)</f>
        <v>9.95538890190835</v>
      </c>
      <c r="AD64" s="39">
        <f ca="1">IF(((R64-AA64)/P64-((Wfc-Wwp)*Ze-Y64)/Ze)/Wfc*DiffE&lt;0,MAX(((R64-AA64)/P64-((Wfc-Wwp)*Ze-Y64)/Ze)/Wfc*DiffE,(R64*Ze-((Wfc-Wwp)*Ze-Y64-AA64)*P64)/(P64+Ze)-AA64),MIN(((R64-AA64)/P64-((Wfc-Wwp)*Ze-Y64)/Ze)/Wfc*DiffE,(R64*Ze-((Wfc-Wwp)*Ze-Y64-AA64)*P64)/(P64+Ze)-AA64))</f>
        <v>0</v>
      </c>
      <c r="AE64" s="39">
        <f ca="1">IF(((R64-AA64)/P64-((Wfc-Wwp)*Ze-Z64)/Ze)/Wfc*DiffE&lt;0,MAX(((R64-AA64)/P64-((Wfc-Wwp)*Ze-Z64)/Ze)/Wfc*DiffE,(R64*Ze-((Wfc-Wwp)*Ze-Z64-AA64)*P64)/(P64+Ze)-AA64),MIN(((R64-AA64)/P64-((Wfc-Wwp)*Ze-Z64)/Ze)/Wfc*DiffE,(R64*Ze-((Wfc-Wwp)*Ze-Z64-AA64)*P64)/(P64+Ze)-AA64))</f>
        <v>0</v>
      </c>
      <c r="AF64" s="39">
        <f ca="1">IF(((S64-AB64)/Q64-(R64-AA64)/P64)/Wfc*DiffR&lt;0,MAX(((S64-AB64)/Q64-(R64-AA64)/P64)/Wfc*DiffR,(S64*P64-(R64-AA64-AB64)*Q64)/(P64+Q64)-AB64),MIN(((S64-AB64)/Q64-(R64-AA64)/P64)/Wfc*DiffR,(S64*P64-(R64-AA64-AB64)*Q64)/(P64+Q64)-AB64))</f>
        <v>0</v>
      </c>
      <c r="AG64" s="99">
        <f ca="1">MIN(MAX(Y64+IF(AU64&gt;0,B64*AZ64/AU64,0)+BE64-AD64,0),TEW)</f>
        <v>0.286403605134588</v>
      </c>
      <c r="AH64" s="99">
        <f ca="1">MIN(MAX(Z64+IF(AV64&gt;0,B64*BA64/AV64,0)+BF64-AE64,0),TEW)</f>
        <v>0.188839168963036</v>
      </c>
      <c r="AI64" s="99">
        <f ca="1" t="shared" si="1"/>
        <v>0.400028393648106</v>
      </c>
      <c r="AJ64" s="99">
        <f ca="1" t="shared" si="2"/>
        <v>0</v>
      </c>
      <c r="AK64" s="70">
        <f ca="1">IF((AU64+AV64)&gt;0,(TEW-(AG64*AU64+AH64*AV64)/(AU64+AV64))/TEW,(TEW-(AG64+AH64)/2)/TEW)</f>
        <v>0.991353853429899</v>
      </c>
      <c r="AL64" s="70">
        <f ca="1" t="shared" si="3"/>
        <v>0.991134774884</v>
      </c>
      <c r="AM64" s="70">
        <f ca="1" t="shared" si="4"/>
        <v>1</v>
      </c>
      <c r="AN64" s="70">
        <f ca="1">Wwp+(Wfc-Wwp)*IF((AU64+AV64)&gt;0,(TEW-(AG64*AU64+AH64*AV64)/(AU64+AV64))/TEW,(TEW-(AG64+AH64)/2)/TEW)</f>
        <v>0.398876000945887</v>
      </c>
      <c r="AO64" s="70">
        <f ca="1">Wwp+(Wfc-Wwp)*(R64-AI64)/R64</f>
        <v>0.39884752073492</v>
      </c>
      <c r="AP64" s="70">
        <f ca="1">Wwp+(Wfc-Wwp)*(S64-AJ64)/S64</f>
        <v>0.4</v>
      </c>
      <c r="AQ64" s="70"/>
      <c r="AR64" s="70"/>
      <c r="AS64" s="70"/>
      <c r="AT64" s="70"/>
      <c r="AU64" s="70">
        <f ca="1">MIN((1-G64),fw)</f>
        <v>0.528</v>
      </c>
      <c r="AV64" s="70">
        <f ca="1" t="shared" si="5"/>
        <v>0</v>
      </c>
      <c r="AW64" s="70">
        <f ca="1">MIN((TEW-Y64)/(TEW-REW),1)</f>
        <v>0.12727820001996</v>
      </c>
      <c r="AX64" s="70">
        <f ca="1">MIN((TEW-Z64)/(TEW-REW),1)</f>
        <v>0.12727820001996</v>
      </c>
      <c r="AY64" s="70">
        <f ca="1">IF((AU64*(TEW-Y64))&gt;0,1/(1+((AV64*(TEW-Z64))/(AU64*(TEW-Y64)))),0)</f>
        <v>1</v>
      </c>
      <c r="AZ64" s="70">
        <f ca="1">MIN((AY64*AW64*(Kcmax-H64)),AU64*Kcmax)</f>
        <v>0.0786473622879073</v>
      </c>
      <c r="BA64" s="70">
        <f ca="1">MIN(((1-AY64)*AX64*(Kcmax-H64)),AV64*Kcmax)</f>
        <v>0</v>
      </c>
      <c r="BB64" s="70">
        <f ca="1" t="shared" si="6"/>
        <v>0.0515140222985793</v>
      </c>
      <c r="BC64" s="70">
        <f ca="1">MIN((R64-AA64)/(R64*(1-(p+0.04*(5-I63)))),1)</f>
        <v>1</v>
      </c>
      <c r="BD64" s="10">
        <f ca="1" t="shared" si="7"/>
        <v>0.348514371349527</v>
      </c>
      <c r="BE64" s="70">
        <f ca="1">MIN(IF((1-AA64/R64)&gt;0,(1-Y64/TEW)/(1-AA64/R64)*(Ze/P64)^0.6,0),1)*BC64*H64*B64</f>
        <v>0.188839168963036</v>
      </c>
      <c r="BF64" s="70">
        <f ca="1">MIN(IF((1-AA64/R64)&gt;0,(1-Z64/TEW)/(1-AA64/R64)*(Ze/P64)^0.6,0),1)*BC64*H64*B64</f>
        <v>0.188839168963036</v>
      </c>
      <c r="BH64" s="10">
        <f ca="1" t="shared" si="8"/>
        <v>0.124641906256589</v>
      </c>
      <c r="BI64" s="10">
        <f ca="1">IF(F64&lt;&gt;"",(Moy_Etobs-F64)^2,"")</f>
        <v>0.732389485272741</v>
      </c>
    </row>
    <row r="65" spans="1:61">
      <c r="A65" s="38">
        <v>39058</v>
      </c>
      <c r="B65" s="10">
        <v>0.423</v>
      </c>
      <c r="C65" s="39">
        <v>1.782</v>
      </c>
      <c r="D65" s="10">
        <v>0.508</v>
      </c>
      <c r="E65" s="39">
        <v>0</v>
      </c>
      <c r="F65" s="10">
        <v>0.3371742</v>
      </c>
      <c r="G65" s="10">
        <f ca="1">MIN(MAX(IF(AND(Durpla&gt;ROW()-MATCH(NDVImax,INDEX(D:D,Lig_min,1):INDEX(D:D,Lig_max,1),0)-Lig_min+1,ROW()-MATCH(NDVImax,INDEX(D:D,Lig_min,1):INDEX(D:D,Lig_max,1),0)-Lig_min+1&gt;0,D65*a_fc+b_fc&gt;fc_fin),NDVImax*a_fc+b_fc,D65*a_fc+b_fc),0),1)</f>
        <v>0.477333333333333</v>
      </c>
      <c r="H65" s="55">
        <f>MIN(MAX(D65*a_kcb+b_kcb,0),Kcmax)</f>
        <v>0.538095247091606</v>
      </c>
      <c r="I65" s="70">
        <f ca="1" t="shared" si="0"/>
        <v>0.260558432850563</v>
      </c>
      <c r="O65" s="55"/>
      <c r="P65" s="35">
        <f ca="1">IF(ROW()-MATCH(NDVImax,INDEX(D:D,Lig_min,1):INDEX(D:D,Lig_max,1),0)-Lig_min+1&gt;0,MAX(MIN(Zr_min+MAX(INDEX(G:G,Lig_min,1):INDEX(G:G,Lig_max,1))/MAX(MAX(INDEX(G:G,Lig_min,1):INDEX(G:G,Lig_max,1)),Max_fc_pour_Zrmax)*(Zr_max-Zr_min),Zr_max),Ze+0.001),MAX(MIN(Zr_min+G65/MAX(MAX(INDEX(G:G,Lig_min,1):INDEX(G:G,Lig_max,1)),Max_fc_pour_Zrmax)*(Zr_max-Zr_min),Zr_max),Ze+0.001))</f>
        <v>349.612097265331</v>
      </c>
      <c r="Q65" s="35">
        <f ca="1">IF(Z_sol&gt;0,Z_sol-P65,0.1)</f>
        <v>264.262453799103</v>
      </c>
      <c r="R65" s="35">
        <f ca="1">(Wfc-Wwp)*P65</f>
        <v>45.4495726444931</v>
      </c>
      <c r="S65" s="35">
        <f ca="1">(Wfc-Wwp)*Q65</f>
        <v>34.3541189938833</v>
      </c>
      <c r="T65" s="99">
        <f ca="1" t="shared" si="9"/>
        <v>0.286403605134588</v>
      </c>
      <c r="U65" s="99">
        <f ca="1" t="shared" si="10"/>
        <v>0.188839168963036</v>
      </c>
      <c r="V65" s="99">
        <f ca="1">IF(P65&gt;P64,IF(Q65&gt;1,MAX(AI64+(Wfc-Wwp)*(P65-P64)*AJ64/S64,0),AI64/P64*P65),MAX(AI64+(Wfc-Wwp)*(P65-P64)*AI64/R64,0))</f>
        <v>0.400028393648106</v>
      </c>
      <c r="W65" s="99">
        <f ca="1">IF(S65&gt;1,IF(P65&gt;P64,MAX(AJ64-(Wfc-Wwp)*(P65-P64)*AJ64/S64,0),MAX(AJ64-(Wfc-Wwp)*(P65-P64)*AI64/R64,0)),0)</f>
        <v>0</v>
      </c>
      <c r="X65" s="99">
        <f ca="1">IF(AND(OR(AND(dec_vide_TAW&lt;0,V65&gt;R65*(p+0.04*(5-I64))),AND(dec_vide_TAW&gt;0,V65&gt;R65*dec_vide_TAW)),H65&gt;MAX(INDEX(H:H,Lig_min,1):INDEX(H:H,ROW(X65),1))*Kcbmax_stop_irrig*IF(ROW(X65)-lig_kcbmax&gt;0,1,0),MIN(INDEX(H:H,ROW(X65),1):INDEX(H:H,lig_kcbmax,1))&gt;Kcbmin_start_irrig),MIN(MAX(V65-E65*Irri_man-C65,0),Lame_max),0)</f>
        <v>0</v>
      </c>
      <c r="Y65" s="99">
        <f ca="1">MIN(MAX(T65-C65-IF(fw&gt;0,X65/fw*Irri_auto+E65/fw*Irri_man,0),0),TEW)</f>
        <v>0</v>
      </c>
      <c r="Z65" s="99">
        <f ca="1">MIN(MAX(U65-C65,0),TEW)</f>
        <v>0</v>
      </c>
      <c r="AA65" s="99">
        <f ca="1">MIN(MAX(V65-C65-(X65*Irri_auto+E65*Irri_man),0),R65)</f>
        <v>0</v>
      </c>
      <c r="AB65" s="99">
        <f ca="1">MIN(MAX(W65+MIN(V65-C65-(X65*Irri_auto+E65*Irri_man),0),0),S65)</f>
        <v>0</v>
      </c>
      <c r="AC65" s="99">
        <f ca="1">-MIN(W65+MIN(V65-C65-(X65*Irri_auto+E65*Irri_man),0),0)</f>
        <v>1.38197160635189</v>
      </c>
      <c r="AD65" s="39">
        <f ca="1">IF(((R65-AA65)/P65-((Wfc-Wwp)*Ze-Y65)/Ze)/Wfc*DiffE&lt;0,MAX(((R65-AA65)/P65-((Wfc-Wwp)*Ze-Y65)/Ze)/Wfc*DiffE,(R65*Ze-((Wfc-Wwp)*Ze-Y65-AA65)*P65)/(P65+Ze)-AA65),MIN(((R65-AA65)/P65-((Wfc-Wwp)*Ze-Y65)/Ze)/Wfc*DiffE,(R65*Ze-((Wfc-Wwp)*Ze-Y65-AA65)*P65)/(P65+Ze)-AA65))</f>
        <v>0</v>
      </c>
      <c r="AE65" s="39">
        <f ca="1">IF(((R65-AA65)/P65-((Wfc-Wwp)*Ze-Z65)/Ze)/Wfc*DiffE&lt;0,MAX(((R65-AA65)/P65-((Wfc-Wwp)*Ze-Z65)/Ze)/Wfc*DiffE,(R65*Ze-((Wfc-Wwp)*Ze-Z65-AA65)*P65)/(P65+Ze)-AA65),MIN(((R65-AA65)/P65-((Wfc-Wwp)*Ze-Z65)/Ze)/Wfc*DiffE,(R65*Ze-((Wfc-Wwp)*Ze-Z65-AA65)*P65)/(P65+Ze)-AA65))</f>
        <v>0</v>
      </c>
      <c r="AF65" s="39">
        <f ca="1">IF(((S65-AB65)/Q65-(R65-AA65)/P65)/Wfc*DiffR&lt;0,MAX(((S65-AB65)/Q65-(R65-AA65)/P65)/Wfc*DiffR,(S65*P65-(R65-AA65-AB65)*Q65)/(P65+Q65)-AB65),MIN(((S65-AB65)/Q65-(R65-AA65)/P65)/Wfc*DiffR,(S65*P65-(R65-AA65-AB65)*Q65)/(P65+Q65)-AB65))</f>
        <v>0</v>
      </c>
      <c r="AG65" s="99">
        <f ca="1">MIN(MAX(Y65+IF(AU65&gt;0,B65*AZ65/AU65,0)+BE65-AD65,0),TEW)</f>
        <v>0.185829555651935</v>
      </c>
      <c r="AH65" s="99">
        <f ca="1">MIN(MAX(Z65+IF(AV65&gt;0,B65*BA65/AV65,0)+BF65-AE65,0),TEW)</f>
        <v>0.122798669177163</v>
      </c>
      <c r="AI65" s="99">
        <f ca="1" t="shared" si="1"/>
        <v>0.260558432850563</v>
      </c>
      <c r="AJ65" s="99">
        <f ca="1" t="shared" si="2"/>
        <v>0</v>
      </c>
      <c r="AK65" s="70">
        <f ca="1">IF((AU65+AV65)&gt;0,(TEW-(AG65*AU65+AH65*AV65)/(AU65+AV65))/TEW,(TEW-(AG65+AH65)/2)/TEW)</f>
        <v>0.99439005115013</v>
      </c>
      <c r="AL65" s="70">
        <f ca="1" t="shared" si="3"/>
        <v>0.994267087286196</v>
      </c>
      <c r="AM65" s="70">
        <f ca="1" t="shared" si="4"/>
        <v>1</v>
      </c>
      <c r="AN65" s="70">
        <f ca="1">Wwp+(Wfc-Wwp)*IF((AU65+AV65)&gt;0,(TEW-(AG65*AU65+AH65*AV65)/(AU65+AV65))/TEW,(TEW-(AG65+AH65)/2)/TEW)</f>
        <v>0.399270706649517</v>
      </c>
      <c r="AO65" s="70">
        <f ca="1">Wwp+(Wfc-Wwp)*(R65-AI65)/R65</f>
        <v>0.399254721347206</v>
      </c>
      <c r="AP65" s="70">
        <f ca="1">Wwp+(Wfc-Wwp)*(S65-AJ65)/S65</f>
        <v>0.4</v>
      </c>
      <c r="AQ65" s="70"/>
      <c r="AR65" s="70"/>
      <c r="AS65" s="70"/>
      <c r="AT65" s="70"/>
      <c r="AU65" s="70">
        <f ca="1">MIN((1-G65),fw)</f>
        <v>0.522666666666667</v>
      </c>
      <c r="AV65" s="70">
        <f ca="1" t="shared" si="5"/>
        <v>0</v>
      </c>
      <c r="AW65" s="70">
        <f ca="1">MIN((TEW-Y65)/(TEW-REW),1)</f>
        <v>0.12727820001996</v>
      </c>
      <c r="AX65" s="70">
        <f ca="1">MIN((TEW-Z65)/(TEW-REW),1)</f>
        <v>0.12727820001996</v>
      </c>
      <c r="AY65" s="70">
        <f ca="1">IF((AU65*(TEW-Y65))&gt;0,1/(1+((AV65*(TEW-Z65))/(AU65*(TEW-Y65)))),0)</f>
        <v>1</v>
      </c>
      <c r="AZ65" s="70">
        <f ca="1">MIN((AY65*AW65*(Kcmax-H65)),AU65*Kcmax)</f>
        <v>0.077882135533839</v>
      </c>
      <c r="BA65" s="70">
        <f ca="1">MIN(((1-AY65)*AX65*(Kcmax-H65)),AV65*Kcmax)</f>
        <v>0</v>
      </c>
      <c r="BB65" s="70">
        <f ca="1" t="shared" si="6"/>
        <v>0.0329441433308139</v>
      </c>
      <c r="BC65" s="70">
        <f ca="1">MIN((R65-AA65)/(R65*(1-(p+0.04*(5-I64)))),1)</f>
        <v>1</v>
      </c>
      <c r="BD65" s="10">
        <f ca="1" t="shared" si="7"/>
        <v>0.227614289519749</v>
      </c>
      <c r="BE65" s="70">
        <f ca="1">MIN(IF((1-AA65/R65)&gt;0,(1-Y65/TEW)/(1-AA65/R65)*(Ze/P65)^0.6,0),1)*BC65*H65*B65</f>
        <v>0.122798669177163</v>
      </c>
      <c r="BF65" s="70">
        <f ca="1">MIN(IF((1-AA65/R65)&gt;0,(1-Z65/TEW)/(1-AA65/R65)*(Ze/P65)^0.6,0),1)*BC65*H65*B65</f>
        <v>0.122798669177163</v>
      </c>
      <c r="BH65" s="10">
        <f ca="1" t="shared" si="8"/>
        <v>0.00586997577589673</v>
      </c>
      <c r="BI65" s="10">
        <f ca="1">IF(F65&lt;&gt;"",(Moy_Etobs-F65)^2,"")</f>
        <v>1.61721675088046</v>
      </c>
    </row>
    <row r="66" spans="1:61">
      <c r="A66" s="38">
        <v>39059</v>
      </c>
      <c r="B66" s="10">
        <v>0.757</v>
      </c>
      <c r="C66" s="39">
        <v>11.484</v>
      </c>
      <c r="D66" s="10">
        <v>0.511</v>
      </c>
      <c r="E66" s="39">
        <v>0</v>
      </c>
      <c r="F66" s="10">
        <v>0.5830956</v>
      </c>
      <c r="G66" s="10">
        <f ca="1">MIN(MAX(IF(AND(Durpla&gt;ROW()-MATCH(NDVImax,INDEX(D:D,Lig_min,1):INDEX(D:D,Lig_max,1),0)-Lig_min+1,ROW()-MATCH(NDVImax,INDEX(D:D,Lig_min,1):INDEX(D:D,Lig_max,1),0)-Lig_min+1&gt;0,D66*a_fc+b_fc&gt;fc_fin),NDVImax*a_fc+b_fc,D66*a_fc+b_fc),0),1)</f>
        <v>0.481333333333333</v>
      </c>
      <c r="H66" s="55">
        <f>MIN(MAX(D66*a_kcb+b_kcb,0),Kcmax)</f>
        <v>0.54260442513986</v>
      </c>
      <c r="I66" s="70">
        <f ca="1" t="shared" si="0"/>
        <v>0.469273868940367</v>
      </c>
      <c r="O66" s="55"/>
      <c r="P66" s="35">
        <f ca="1">IF(ROW()-MATCH(NDVImax,INDEX(D:D,Lig_min,1):INDEX(D:D,Lig_max,1),0)-Lig_min+1&gt;0,MAX(MIN(Zr_min+MAX(INDEX(G:G,Lig_min,1):INDEX(G:G,Lig_max,1))/MAX(MAX(INDEX(G:G,Lig_min,1):INDEX(G:G,Lig_max,1)),Max_fc_pour_Zrmax)*(Zr_max-Zr_min),Zr_max),Ze+0.001),MAX(MIN(Zr_min+G66/MAX(MAX(INDEX(G:G,Lig_min,1):INDEX(G:G,Lig_max,1)),Max_fc_pour_Zrmax)*(Zr_max-Zr_min),Zr_max),Ze+0.001))</f>
        <v>351.494321544091</v>
      </c>
      <c r="Q66" s="35">
        <f ca="1">IF(Z_sol&gt;0,Z_sol-P66,0.1)</f>
        <v>262.380229520343</v>
      </c>
      <c r="R66" s="35">
        <f ca="1">(Wfc-Wwp)*P66</f>
        <v>45.6942618007319</v>
      </c>
      <c r="S66" s="35">
        <f ca="1">(Wfc-Wwp)*Q66</f>
        <v>34.1094298376446</v>
      </c>
      <c r="T66" s="99">
        <f ca="1" t="shared" si="9"/>
        <v>0.185829555651935</v>
      </c>
      <c r="U66" s="99">
        <f ca="1" t="shared" si="10"/>
        <v>0.122798669177163</v>
      </c>
      <c r="V66" s="99">
        <f ca="1">IF(P66&gt;P65,IF(Q66&gt;1,MAX(AI65+(Wfc-Wwp)*(P66-P65)*AJ65/S65,0),AI65/P65*P66),MAX(AI65+(Wfc-Wwp)*(P66-P65)*AI65/R65,0))</f>
        <v>0.260558432850563</v>
      </c>
      <c r="W66" s="99">
        <f ca="1">IF(S66&gt;1,IF(P66&gt;P65,MAX(AJ65-(Wfc-Wwp)*(P66-P65)*AJ65/S65,0),MAX(AJ65-(Wfc-Wwp)*(P66-P65)*AI65/R65,0)),0)</f>
        <v>0</v>
      </c>
      <c r="X66" s="99">
        <f ca="1">IF(AND(OR(AND(dec_vide_TAW&lt;0,V66&gt;R66*(p+0.04*(5-I65))),AND(dec_vide_TAW&gt;0,V66&gt;R66*dec_vide_TAW)),H66&gt;MAX(INDEX(H:H,Lig_min,1):INDEX(H:H,ROW(X66),1))*Kcbmax_stop_irrig*IF(ROW(X66)-lig_kcbmax&gt;0,1,0),MIN(INDEX(H:H,ROW(X66),1):INDEX(H:H,lig_kcbmax,1))&gt;Kcbmin_start_irrig),MIN(MAX(V66-E66*Irri_man-C66,0),Lame_max),0)</f>
        <v>0</v>
      </c>
      <c r="Y66" s="99">
        <f ca="1">MIN(MAX(T66-C66-IF(fw&gt;0,X66/fw*Irri_auto+E66/fw*Irri_man,0),0),TEW)</f>
        <v>0</v>
      </c>
      <c r="Z66" s="99">
        <f ca="1">MIN(MAX(U66-C66,0),TEW)</f>
        <v>0</v>
      </c>
      <c r="AA66" s="99">
        <f ca="1">MIN(MAX(V66-C66-(X66*Irri_auto+E66*Irri_man),0),R66)</f>
        <v>0</v>
      </c>
      <c r="AB66" s="99">
        <f ca="1">MIN(MAX(W66+MIN(V66-C66-(X66*Irri_auto+E66*Irri_man),0),0),S66)</f>
        <v>0</v>
      </c>
      <c r="AC66" s="99">
        <f ca="1">-MIN(W66+MIN(V66-C66-(X66*Irri_auto+E66*Irri_man),0),0)</f>
        <v>11.2234415671494</v>
      </c>
      <c r="AD66" s="39">
        <f ca="1">IF(((R66-AA66)/P66-((Wfc-Wwp)*Ze-Y66)/Ze)/Wfc*DiffE&lt;0,MAX(((R66-AA66)/P66-((Wfc-Wwp)*Ze-Y66)/Ze)/Wfc*DiffE,(R66*Ze-((Wfc-Wwp)*Ze-Y66-AA66)*P66)/(P66+Ze)-AA66),MIN(((R66-AA66)/P66-((Wfc-Wwp)*Ze-Y66)/Ze)/Wfc*DiffE,(R66*Ze-((Wfc-Wwp)*Ze-Y66-AA66)*P66)/(P66+Ze)-AA66))</f>
        <v>0</v>
      </c>
      <c r="AE66" s="39">
        <f ca="1">IF(((R66-AA66)/P66-((Wfc-Wwp)*Ze-Z66)/Ze)/Wfc*DiffE&lt;0,MAX(((R66-AA66)/P66-((Wfc-Wwp)*Ze-Z66)/Ze)/Wfc*DiffE,(R66*Ze-((Wfc-Wwp)*Ze-Z66-AA66)*P66)/(P66+Ze)-AA66),MIN(((R66-AA66)/P66-((Wfc-Wwp)*Ze-Z66)/Ze)/Wfc*DiffE,(R66*Ze-((Wfc-Wwp)*Ze-Z66-AA66)*P66)/(P66+Ze)-AA66))</f>
        <v>0</v>
      </c>
      <c r="AF66" s="39">
        <f ca="1">IF(((S66-AB66)/Q66-(R66-AA66)/P66)/Wfc*DiffR&lt;0,MAX(((S66-AB66)/Q66-(R66-AA66)/P66)/Wfc*DiffR,(S66*P66-(R66-AA66-AB66)*Q66)/(P66+Q66)-AB66),MIN(((S66-AB66)/Q66-(R66-AA66)/P66)/Wfc*DiffR,(S66*P66-(R66-AA66-AB66)*Q66)/(P66+Q66)-AB66))</f>
        <v>0</v>
      </c>
      <c r="AG66" s="99">
        <f ca="1">MIN(MAX(Y66+IF(AU66&gt;0,B66*AZ66/AU66,0)+BE66-AD66,0),TEW)</f>
        <v>0.33372130676341</v>
      </c>
      <c r="AH66" s="99">
        <f ca="1">MIN(MAX(Z66+IF(AV66&gt;0,B66*BA66/AV66,0)+BF66-AE66,0),TEW)</f>
        <v>0.220889071976468</v>
      </c>
      <c r="AI66" s="99">
        <f ca="1" t="shared" si="1"/>
        <v>0.469273868940367</v>
      </c>
      <c r="AJ66" s="99">
        <f ca="1" t="shared" si="2"/>
        <v>0</v>
      </c>
      <c r="AK66" s="70">
        <f ca="1">IF((AU66+AV66)&gt;0,(TEW-(AG66*AU66+AH66*AV66)/(AU66+AV66))/TEW,(TEW-(AG66+AH66)/2)/TEW)</f>
        <v>0.989925394512803</v>
      </c>
      <c r="AL66" s="70">
        <f ca="1" t="shared" si="3"/>
        <v>0.989730135679031</v>
      </c>
      <c r="AM66" s="70">
        <f ca="1" t="shared" si="4"/>
        <v>1</v>
      </c>
      <c r="AN66" s="70">
        <f ca="1">Wwp+(Wfc-Wwp)*IF((AU66+AV66)&gt;0,(TEW-(AG66*AU66+AH66*AV66)/(AU66+AV66))/TEW,(TEW-(AG66+AH66)/2)/TEW)</f>
        <v>0.398690301286664</v>
      </c>
      <c r="AO66" s="70">
        <f ca="1">Wwp+(Wfc-Wwp)*(R66-AI66)/R66</f>
        <v>0.398664917638274</v>
      </c>
      <c r="AP66" s="70">
        <f ca="1">Wwp+(Wfc-Wwp)*(S66-AJ66)/S66</f>
        <v>0.4</v>
      </c>
      <c r="AQ66" s="70"/>
      <c r="AR66" s="70"/>
      <c r="AS66" s="70"/>
      <c r="AT66" s="70"/>
      <c r="AU66" s="70">
        <f ca="1">MIN((1-G66),fw)</f>
        <v>0.518666666666667</v>
      </c>
      <c r="AV66" s="70">
        <f ca="1" t="shared" si="5"/>
        <v>0</v>
      </c>
      <c r="AW66" s="70">
        <f ca="1">MIN((TEW-Y66)/(TEW-REW),1)</f>
        <v>0.12727820001996</v>
      </c>
      <c r="AX66" s="70">
        <f ca="1">MIN((TEW-Z66)/(TEW-REW),1)</f>
        <v>0.12727820001996</v>
      </c>
      <c r="AY66" s="70">
        <f ca="1">IF((AU66*(TEW-Y66))&gt;0,1/(1+((AV66*(TEW-Z66))/(AU66*(TEW-Y66)))),0)</f>
        <v>1</v>
      </c>
      <c r="AZ66" s="70">
        <f ca="1">MIN((AY66*AW66*(Kcmax-H66)),AU66*Kcmax)</f>
        <v>0.0773082154682877</v>
      </c>
      <c r="BA66" s="70">
        <f ca="1">MIN(((1-AY66)*AX66*(Kcmax-H66)),AV66*Kcmax)</f>
        <v>0</v>
      </c>
      <c r="BB66" s="70">
        <f ca="1" t="shared" si="6"/>
        <v>0.0585223191094938</v>
      </c>
      <c r="BC66" s="70">
        <f ca="1">MIN((R66-AA66)/(R66*(1-(p+0.04*(5-I65)))),1)</f>
        <v>1</v>
      </c>
      <c r="BD66" s="10">
        <f ca="1" t="shared" si="7"/>
        <v>0.410751549830874</v>
      </c>
      <c r="BE66" s="70">
        <f ca="1">MIN(IF((1-AA66/R66)&gt;0,(1-Y66/TEW)/(1-AA66/R66)*(Ze/P66)^0.6,0),1)*BC66*H66*B66</f>
        <v>0.220889071976468</v>
      </c>
      <c r="BF66" s="70">
        <f ca="1">MIN(IF((1-AA66/R66)&gt;0,(1-Z66/TEW)/(1-AA66/R66)*(Ze/P66)^0.6,0),1)*BC66*H66*B66</f>
        <v>0.220889071976468</v>
      </c>
      <c r="BH66" s="10">
        <f ca="1" t="shared" si="8"/>
        <v>0.0129553864614113</v>
      </c>
      <c r="BI66" s="10">
        <f ca="1">IF(F66&lt;&gt;"",(Moy_Etobs-F66)^2,"")</f>
        <v>1.05221839752204</v>
      </c>
    </row>
    <row r="67" spans="1:61">
      <c r="A67" s="38">
        <v>39060</v>
      </c>
      <c r="B67" s="10">
        <v>0.512</v>
      </c>
      <c r="C67" s="39">
        <v>0.99</v>
      </c>
      <c r="D67">
        <v>0.514</v>
      </c>
      <c r="E67" s="39">
        <v>0</v>
      </c>
      <c r="F67" s="10">
        <v>0.9006786</v>
      </c>
      <c r="G67" s="10">
        <f ca="1">MIN(MAX(IF(AND(Durpla&gt;ROW()-MATCH(NDVImax,INDEX(D:D,Lig_min,1):INDEX(D:D,Lig_max,1),0)-Lig_min+1,ROW()-MATCH(NDVImax,INDEX(D:D,Lig_min,1):INDEX(D:D,Lig_max,1),0)-Lig_min+1&gt;0,D67*a_fc+b_fc&gt;fc_fin),NDVImax*a_fc+b_fc,D67*a_fc+b_fc),0),1)</f>
        <v>0.485333333333333</v>
      </c>
      <c r="H67" s="55">
        <f>MIN(MAX(D67*a_kcb+b_kcb,0),Kcmax)</f>
        <v>0.547113603188113</v>
      </c>
      <c r="I67" s="70">
        <f ca="1" t="shared" si="0"/>
        <v>0.319410124078515</v>
      </c>
      <c r="O67" s="55"/>
      <c r="P67" s="35">
        <f ca="1">IF(ROW()-MATCH(NDVImax,INDEX(D:D,Lig_min,1):INDEX(D:D,Lig_max,1),0)-Lig_min+1&gt;0,MAX(MIN(Zr_min+MAX(INDEX(G:G,Lig_min,1):INDEX(G:G,Lig_max,1))/MAX(MAX(INDEX(G:G,Lig_min,1):INDEX(G:G,Lig_max,1)),Max_fc_pour_Zrmax)*(Zr_max-Zr_min),Zr_max),Ze+0.001),MAX(MIN(Zr_min+G67/MAX(MAX(INDEX(G:G,Lig_min,1):INDEX(G:G,Lig_max,1)),Max_fc_pour_Zrmax)*(Zr_max-Zr_min),Zr_max),Ze+0.001))</f>
        <v>353.376545822851</v>
      </c>
      <c r="Q67" s="35">
        <f ca="1">IF(Z_sol&gt;0,Z_sol-P67,0.1)</f>
        <v>260.498005241583</v>
      </c>
      <c r="R67" s="35">
        <f ca="1">(Wfc-Wwp)*P67</f>
        <v>45.9389509569706</v>
      </c>
      <c r="S67" s="35">
        <f ca="1">(Wfc-Wwp)*Q67</f>
        <v>33.8647406814058</v>
      </c>
      <c r="T67" s="99">
        <f ca="1" t="shared" si="9"/>
        <v>0.33372130676341</v>
      </c>
      <c r="U67" s="99">
        <f ca="1" t="shared" si="10"/>
        <v>0.220889071976468</v>
      </c>
      <c r="V67" s="99">
        <f ca="1">IF(P67&gt;P66,IF(Q67&gt;1,MAX(AI66+(Wfc-Wwp)*(P67-P66)*AJ66/S66,0),AI66/P66*P67),MAX(AI66+(Wfc-Wwp)*(P67-P66)*AI66/R66,0))</f>
        <v>0.469273868940367</v>
      </c>
      <c r="W67" s="99">
        <f ca="1">IF(S67&gt;1,IF(P67&gt;P66,MAX(AJ66-(Wfc-Wwp)*(P67-P66)*AJ66/S66,0),MAX(AJ66-(Wfc-Wwp)*(P67-P66)*AI66/R66,0)),0)</f>
        <v>0</v>
      </c>
      <c r="X67" s="99">
        <f ca="1">IF(AND(OR(AND(dec_vide_TAW&lt;0,V67&gt;R67*(p+0.04*(5-I66))),AND(dec_vide_TAW&gt;0,V67&gt;R67*dec_vide_TAW)),H67&gt;MAX(INDEX(H:H,Lig_min,1):INDEX(H:H,ROW(X67),1))*Kcbmax_stop_irrig*IF(ROW(X67)-lig_kcbmax&gt;0,1,0),MIN(INDEX(H:H,ROW(X67),1):INDEX(H:H,lig_kcbmax,1))&gt;Kcbmin_start_irrig),MIN(MAX(V67-E67*Irri_man-C67,0),Lame_max),0)</f>
        <v>0</v>
      </c>
      <c r="Y67" s="99">
        <f ca="1">MIN(MAX(T67-C67-IF(fw&gt;0,X67/fw*Irri_auto+E67/fw*Irri_man,0),0),TEW)</f>
        <v>0</v>
      </c>
      <c r="Z67" s="99">
        <f ca="1">MIN(MAX(U67-C67,0),TEW)</f>
        <v>0</v>
      </c>
      <c r="AA67" s="99">
        <f ca="1">MIN(MAX(V67-C67-(X67*Irri_auto+E67*Irri_man),0),R67)</f>
        <v>0</v>
      </c>
      <c r="AB67" s="99">
        <f ca="1">MIN(MAX(W67+MIN(V67-C67-(X67*Irri_auto+E67*Irri_man),0),0),S67)</f>
        <v>0</v>
      </c>
      <c r="AC67" s="99">
        <f ca="1">-MIN(W67+MIN(V67-C67-(X67*Irri_auto+E67*Irri_man),0),0)</f>
        <v>0.520726131059633</v>
      </c>
      <c r="AD67" s="39">
        <f ca="1">IF(((R67-AA67)/P67-((Wfc-Wwp)*Ze-Y67)/Ze)/Wfc*DiffE&lt;0,MAX(((R67-AA67)/P67-((Wfc-Wwp)*Ze-Y67)/Ze)/Wfc*DiffE,(R67*Ze-((Wfc-Wwp)*Ze-Y67-AA67)*P67)/(P67+Ze)-AA67),MIN(((R67-AA67)/P67-((Wfc-Wwp)*Ze-Y67)/Ze)/Wfc*DiffE,(R67*Ze-((Wfc-Wwp)*Ze-Y67-AA67)*P67)/(P67+Ze)-AA67))</f>
        <v>0</v>
      </c>
      <c r="AE67" s="39">
        <f ca="1">IF(((R67-AA67)/P67-((Wfc-Wwp)*Ze-Z67)/Ze)/Wfc*DiffE&lt;0,MAX(((R67-AA67)/P67-((Wfc-Wwp)*Ze-Z67)/Ze)/Wfc*DiffE,(R67*Ze-((Wfc-Wwp)*Ze-Z67-AA67)*P67)/(P67+Ze)-AA67),MIN(((R67-AA67)/P67-((Wfc-Wwp)*Ze-Z67)/Ze)/Wfc*DiffE,(R67*Ze-((Wfc-Wwp)*Ze-Z67-AA67)*P67)/(P67+Ze)-AA67))</f>
        <v>0</v>
      </c>
      <c r="AF67" s="39">
        <f ca="1">IF(((S67-AB67)/Q67-(R67-AA67)/P67)/Wfc*DiffR&lt;0,MAX(((S67-AB67)/Q67-(R67-AA67)/P67)/Wfc*DiffR,(S67*P67-(R67-AA67-AB67)*Q67)/(P67+Q67)-AB67),MIN(((S67-AB67)/Q67-(R67-AA67)/P67)/Wfc*DiffR,(S67*P67-(R67-AA67-AB67)*Q67)/(P67+Q67)-AB67))</f>
        <v>0</v>
      </c>
      <c r="AG67" s="99">
        <f ca="1">MIN(MAX(Y67+IF(AU67&gt;0,B67*AZ67/AU67,0)+BE67-AD67,0),TEW)</f>
        <v>0.226495529150635</v>
      </c>
      <c r="AH67" s="99">
        <f ca="1">MIN(MAX(Z67+IF(AV67&gt;0,B67*BA67/AV67,0)+BF67-AE67,0),TEW)</f>
        <v>0.15015882077071</v>
      </c>
      <c r="AI67" s="99">
        <f ca="1" t="shared" si="1"/>
        <v>0.319410124078515</v>
      </c>
      <c r="AJ67" s="99">
        <f ca="1" t="shared" si="2"/>
        <v>0</v>
      </c>
      <c r="AK67" s="70">
        <f ca="1">IF((AU67+AV67)&gt;0,(TEW-(AG67*AU67+AH67*AV67)/(AU67+AV67))/TEW,(TEW-(AG67+AH67)/2)/TEW)</f>
        <v>0.993162399119981</v>
      </c>
      <c r="AL67" s="70">
        <f ca="1" t="shared" si="3"/>
        <v>0.993047074053178</v>
      </c>
      <c r="AM67" s="70">
        <f ca="1" t="shared" si="4"/>
        <v>1</v>
      </c>
      <c r="AN67" s="70">
        <f ca="1">Wwp+(Wfc-Wwp)*IF((AU67+AV67)&gt;0,(TEW-(AG67*AU67+AH67*AV67)/(AU67+AV67))/TEW,(TEW-(AG67+AH67)/2)/TEW)</f>
        <v>0.399111111885598</v>
      </c>
      <c r="AO67" s="70">
        <f ca="1">Wwp+(Wfc-Wwp)*(R67-AI67)/R67</f>
        <v>0.399096119626913</v>
      </c>
      <c r="AP67" s="70">
        <f ca="1">Wwp+(Wfc-Wwp)*(S67-AJ67)/S67</f>
        <v>0.4</v>
      </c>
      <c r="AQ67" s="70"/>
      <c r="AR67" s="70"/>
      <c r="AS67" s="70"/>
      <c r="AT67" s="70"/>
      <c r="AU67" s="70">
        <f ca="1">MIN((1-G67),fw)</f>
        <v>0.514666666666667</v>
      </c>
      <c r="AV67" s="70">
        <f ca="1" t="shared" si="5"/>
        <v>0</v>
      </c>
      <c r="AW67" s="70">
        <f ca="1">MIN((TEW-Y67)/(TEW-REW),1)</f>
        <v>0.12727820001996</v>
      </c>
      <c r="AX67" s="70">
        <f ca="1">MIN((TEW-Z67)/(TEW-REW),1)</f>
        <v>0.12727820001996</v>
      </c>
      <c r="AY67" s="70">
        <f ca="1">IF((AU67*(TEW-Y67))&gt;0,1/(1+((AV67*(TEW-Z67))/(AU67*(TEW-Y67)))),0)</f>
        <v>1</v>
      </c>
      <c r="AZ67" s="70">
        <f ca="1">MIN((AY67*AW67*(Kcmax-H67)),AU67*Kcmax)</f>
        <v>0.0767342954027365</v>
      </c>
      <c r="BA67" s="70">
        <f ca="1">MIN(((1-AY67)*AX67*(Kcmax-H67)),AV67*Kcmax)</f>
        <v>0</v>
      </c>
      <c r="BB67" s="70">
        <f ca="1" t="shared" si="6"/>
        <v>0.0392879592462011</v>
      </c>
      <c r="BC67" s="70">
        <f ca="1">MIN((R67-AA67)/(R67*(1-(p+0.04*(5-I66)))),1)</f>
        <v>1</v>
      </c>
      <c r="BD67" s="10">
        <f ca="1" t="shared" si="7"/>
        <v>0.280122164832314</v>
      </c>
      <c r="BE67" s="70">
        <f ca="1">MIN(IF((1-AA67/R67)&gt;0,(1-Y67/TEW)/(1-AA67/R67)*(Ze/P67)^0.6,0),1)*BC67*H67*B67</f>
        <v>0.15015882077071</v>
      </c>
      <c r="BF67" s="70">
        <f ca="1">MIN(IF((1-AA67/R67)&gt;0,(1-Z67/TEW)/(1-AA67/R67)*(Ze/P67)^0.6,0),1)*BC67*H67*B67</f>
        <v>0.15015882077071</v>
      </c>
      <c r="BH67" s="10">
        <f ca="1" t="shared" si="8"/>
        <v>0.337873041100086</v>
      </c>
      <c r="BI67" s="10">
        <f ca="1">IF(F67&lt;&gt;"",(Moy_Etobs-F67)^2,"")</f>
        <v>0.501538702830849</v>
      </c>
    </row>
    <row r="68" spans="1:61">
      <c r="A68" s="38">
        <v>39061</v>
      </c>
      <c r="B68" s="10">
        <v>0.36</v>
      </c>
      <c r="C68" s="39">
        <v>0.396</v>
      </c>
      <c r="D68">
        <v>0.517</v>
      </c>
      <c r="E68" s="39">
        <v>0</v>
      </c>
      <c r="F68" s="10">
        <v>0.5292972</v>
      </c>
      <c r="G68" s="10">
        <f ca="1">MIN(MAX(IF(AND(Durpla&gt;ROW()-MATCH(NDVImax,INDEX(D:D,Lig_min,1):INDEX(D:D,Lig_max,1),0)-Lig_min+1,ROW()-MATCH(NDVImax,INDEX(D:D,Lig_min,1):INDEX(D:D,Lig_max,1),0)-Lig_min+1&gt;0,D68*a_fc+b_fc&gt;fc_fin),NDVImax*a_fc+b_fc,D68*a_fc+b_fc),0),1)</f>
        <v>0.489333333333333</v>
      </c>
      <c r="H68" s="55">
        <f>MIN(MAX(D68*a_kcb+b_kcb,0),Kcmax)</f>
        <v>0.551622781236367</v>
      </c>
      <c r="I68" s="70">
        <f ca="1" t="shared" si="0"/>
        <v>0.226001936366479</v>
      </c>
      <c r="O68" s="55"/>
      <c r="P68" s="35">
        <f ca="1">IF(ROW()-MATCH(NDVImax,INDEX(D:D,Lig_min,1):INDEX(D:D,Lig_max,1),0)-Lig_min+1&gt;0,MAX(MIN(Zr_min+MAX(INDEX(G:G,Lig_min,1):INDEX(G:G,Lig_max,1))/MAX(MAX(INDEX(G:G,Lig_min,1):INDEX(G:G,Lig_max,1)),Max_fc_pour_Zrmax)*(Zr_max-Zr_min),Zr_max),Ze+0.001),MAX(MIN(Zr_min+G68/MAX(MAX(INDEX(G:G,Lig_min,1):INDEX(G:G,Lig_max,1)),Max_fc_pour_Zrmax)*(Zr_max-Zr_min),Zr_max),Ze+0.001))</f>
        <v>355.258770101611</v>
      </c>
      <c r="Q68" s="35">
        <f ca="1">IF(Z_sol&gt;0,Z_sol-P68,0.1)</f>
        <v>258.615780962823</v>
      </c>
      <c r="R68" s="35">
        <f ca="1">(Wfc-Wwp)*P68</f>
        <v>46.1836401132094</v>
      </c>
      <c r="S68" s="35">
        <f ca="1">(Wfc-Wwp)*Q68</f>
        <v>33.620051525167</v>
      </c>
      <c r="T68" s="99">
        <f ca="1" t="shared" si="9"/>
        <v>0.226495529150635</v>
      </c>
      <c r="U68" s="99">
        <f ca="1" t="shared" si="10"/>
        <v>0.15015882077071</v>
      </c>
      <c r="V68" s="99">
        <f ca="1">IF(P68&gt;P67,IF(Q68&gt;1,MAX(AI67+(Wfc-Wwp)*(P68-P67)*AJ67/S67,0),AI67/P67*P68),MAX(AI67+(Wfc-Wwp)*(P68-P67)*AI67/R67,0))</f>
        <v>0.319410124078515</v>
      </c>
      <c r="W68" s="99">
        <f ca="1">IF(S68&gt;1,IF(P68&gt;P67,MAX(AJ67-(Wfc-Wwp)*(P68-P67)*AJ67/S67,0),MAX(AJ67-(Wfc-Wwp)*(P68-P67)*AI67/R67,0)),0)</f>
        <v>0</v>
      </c>
      <c r="X68" s="99">
        <f ca="1">IF(AND(OR(AND(dec_vide_TAW&lt;0,V68&gt;R68*(p+0.04*(5-I67))),AND(dec_vide_TAW&gt;0,V68&gt;R68*dec_vide_TAW)),H68&gt;MAX(INDEX(H:H,Lig_min,1):INDEX(H:H,ROW(X68),1))*Kcbmax_stop_irrig*IF(ROW(X68)-lig_kcbmax&gt;0,1,0),MIN(INDEX(H:H,ROW(X68),1):INDEX(H:H,lig_kcbmax,1))&gt;Kcbmin_start_irrig),MIN(MAX(V68-E68*Irri_man-C68,0),Lame_max),0)</f>
        <v>0</v>
      </c>
      <c r="Y68" s="99">
        <f ca="1">MIN(MAX(T68-C68-IF(fw&gt;0,X68/fw*Irri_auto+E68/fw*Irri_man,0),0),TEW)</f>
        <v>0</v>
      </c>
      <c r="Z68" s="99">
        <f ca="1">MIN(MAX(U68-C68,0),TEW)</f>
        <v>0</v>
      </c>
      <c r="AA68" s="99">
        <f ca="1">MIN(MAX(V68-C68-(X68*Irri_auto+E68*Irri_man),0),R68)</f>
        <v>0</v>
      </c>
      <c r="AB68" s="99">
        <f ca="1">MIN(MAX(W68+MIN(V68-C68-(X68*Irri_auto+E68*Irri_man),0),0),S68)</f>
        <v>0</v>
      </c>
      <c r="AC68" s="99">
        <f ca="1">-MIN(W68+MIN(V68-C68-(X68*Irri_auto+E68*Irri_man),0),0)</f>
        <v>0.076589875921485</v>
      </c>
      <c r="AD68" s="39">
        <f ca="1">IF(((R68-AA68)/P68-((Wfc-Wwp)*Ze-Y68)/Ze)/Wfc*DiffE&lt;0,MAX(((R68-AA68)/P68-((Wfc-Wwp)*Ze-Y68)/Ze)/Wfc*DiffE,(R68*Ze-((Wfc-Wwp)*Ze-Y68-AA68)*P68)/(P68+Ze)-AA68),MIN(((R68-AA68)/P68-((Wfc-Wwp)*Ze-Y68)/Ze)/Wfc*DiffE,(R68*Ze-((Wfc-Wwp)*Ze-Y68-AA68)*P68)/(P68+Ze)-AA68))</f>
        <v>0</v>
      </c>
      <c r="AE68" s="39">
        <f ca="1">IF(((R68-AA68)/P68-((Wfc-Wwp)*Ze-Z68)/Ze)/Wfc*DiffE&lt;0,MAX(((R68-AA68)/P68-((Wfc-Wwp)*Ze-Z68)/Ze)/Wfc*DiffE,(R68*Ze-((Wfc-Wwp)*Ze-Z68-AA68)*P68)/(P68+Ze)-AA68),MIN(((R68-AA68)/P68-((Wfc-Wwp)*Ze-Z68)/Ze)/Wfc*DiffE,(R68*Ze-((Wfc-Wwp)*Ze-Z68-AA68)*P68)/(P68+Ze)-AA68))</f>
        <v>0</v>
      </c>
      <c r="AF68" s="39">
        <f ca="1">IF(((S68-AB68)/Q68-(R68-AA68)/P68)/Wfc*DiffR&lt;0,MAX(((S68-AB68)/Q68-(R68-AA68)/P68)/Wfc*DiffR,(S68*P68-(R68-AA68-AB68)*Q68)/(P68+Q68)-AB68),MIN(((S68-AB68)/Q68-(R68-AA68)/P68)/Wfc*DiffR,(S68*P68-(R68-AA68-AB68)*Q68)/(P68+Q68)-AB68))</f>
        <v>0</v>
      </c>
      <c r="AG68" s="99">
        <f ca="1">MIN(MAX(Y68+IF(AU68&gt;0,B68*AZ68/AU68,0)+BE68-AD68,0),TEW)</f>
        <v>0.15980191500624</v>
      </c>
      <c r="AH68" s="99">
        <f ca="1">MIN(MAX(Z68+IF(AV68&gt;0,B68*BA68/AV68,0)+BF68-AE68,0),TEW)</f>
        <v>0.106111833175849</v>
      </c>
      <c r="AI68" s="99">
        <f ca="1" t="shared" si="1"/>
        <v>0.226001936366479</v>
      </c>
      <c r="AJ68" s="99">
        <f ca="1" t="shared" si="2"/>
        <v>0</v>
      </c>
      <c r="AK68" s="70">
        <f ca="1">IF((AU68+AV68)&gt;0,(TEW-(AG68*AU68+AH68*AV68)/(AU68+AV68))/TEW,(TEW-(AG68+AH68)/2)/TEW)</f>
        <v>0.995175791245095</v>
      </c>
      <c r="AL68" s="70">
        <f ca="1" t="shared" si="3"/>
        <v>0.995106450340153</v>
      </c>
      <c r="AM68" s="70">
        <f ca="1" t="shared" si="4"/>
        <v>1</v>
      </c>
      <c r="AN68" s="70">
        <f ca="1">Wwp+(Wfc-Wwp)*IF((AU68+AV68)&gt;0,(TEW-(AG68*AU68+AH68*AV68)/(AU68+AV68))/TEW,(TEW-(AG68+AH68)/2)/TEW)</f>
        <v>0.399372852861862</v>
      </c>
      <c r="AO68" s="70">
        <f ca="1">Wwp+(Wfc-Wwp)*(R68-AI68)/R68</f>
        <v>0.39936383854422</v>
      </c>
      <c r="AP68" s="70">
        <f ca="1">Wwp+(Wfc-Wwp)*(S68-AJ68)/S68</f>
        <v>0.4</v>
      </c>
      <c r="AQ68" s="70"/>
      <c r="AR68" s="70"/>
      <c r="AS68" s="70"/>
      <c r="AT68" s="70"/>
      <c r="AU68" s="70">
        <f ca="1">MIN((1-G68),fw)</f>
        <v>0.510666666666667</v>
      </c>
      <c r="AV68" s="70">
        <f ca="1" t="shared" si="5"/>
        <v>0</v>
      </c>
      <c r="AW68" s="70">
        <f ca="1">MIN((TEW-Y68)/(TEW-REW),1)</f>
        <v>0.12727820001996</v>
      </c>
      <c r="AX68" s="70">
        <f ca="1">MIN((TEW-Z68)/(TEW-REW),1)</f>
        <v>0.12727820001996</v>
      </c>
      <c r="AY68" s="70">
        <f ca="1">IF((AU68*(TEW-Y68))&gt;0,1/(1+((AV68*(TEW-Z68))/(AU68*(TEW-Y68)))),0)</f>
        <v>1</v>
      </c>
      <c r="AZ68" s="70">
        <f ca="1">MIN((AY68*AW68*(Kcmax-H68)),AU68*Kcmax)</f>
        <v>0.0761603753371852</v>
      </c>
      <c r="BA68" s="70">
        <f ca="1">MIN(((1-AY68)*AX68*(Kcmax-H68)),AV68*Kcmax)</f>
        <v>0</v>
      </c>
      <c r="BB68" s="70">
        <f ca="1" t="shared" si="6"/>
        <v>0.0274177351213867</v>
      </c>
      <c r="BC68" s="70">
        <f ca="1">MIN((R68-AA68)/(R68*(1-(p+0.04*(5-I67)))),1)</f>
        <v>1</v>
      </c>
      <c r="BD68" s="10">
        <f ca="1" t="shared" si="7"/>
        <v>0.198584201245092</v>
      </c>
      <c r="BE68" s="70">
        <f ca="1">MIN(IF((1-AA68/R68)&gt;0,(1-Y68/TEW)/(1-AA68/R68)*(Ze/P68)^0.6,0),1)*BC68*H68*B68</f>
        <v>0.106111833175849</v>
      </c>
      <c r="BF68" s="70">
        <f ca="1">MIN(IF((1-AA68/R68)&gt;0,(1-Z68/TEW)/(1-AA68/R68)*(Ze/P68)^0.6,0),1)*BC68*H68*B68</f>
        <v>0.106111833175849</v>
      </c>
      <c r="BH68" s="10">
        <f ca="1" t="shared" si="8"/>
        <v>0.0919880169425272</v>
      </c>
      <c r="BI68" s="10">
        <f ca="1">IF(F68&lt;&gt;"",(Moy_Etobs-F68)^2,"")</f>
        <v>1.16548298513034</v>
      </c>
    </row>
    <row r="69" spans="1:61">
      <c r="A69" s="38">
        <v>39062</v>
      </c>
      <c r="B69" s="10">
        <v>0.305</v>
      </c>
      <c r="C69" s="39">
        <v>0</v>
      </c>
      <c r="D69">
        <v>0.52</v>
      </c>
      <c r="E69" s="39">
        <v>0</v>
      </c>
      <c r="F69" s="10">
        <v>0.3609144</v>
      </c>
      <c r="G69" s="10">
        <f ca="1">MIN(MAX(IF(AND(Durpla&gt;ROW()-MATCH(NDVImax,INDEX(D:D,Lig_min,1):INDEX(D:D,Lig_max,1),0)-Lig_min+1,ROW()-MATCH(NDVImax,INDEX(D:D,Lig_min,1):INDEX(D:D,Lig_max,1),0)-Lig_min+1&gt;0,D69*a_fc+b_fc&gt;fc_fin),NDVImax*a_fc+b_fc,D69*a_fc+b_fc),0),1)</f>
        <v>0.493333333333333</v>
      </c>
      <c r="H69" s="55">
        <f>MIN(MAX(D69*a_kcb+b_kcb,0),Kcmax)</f>
        <v>0.556131959284621</v>
      </c>
      <c r="I69" s="70">
        <f ca="1" t="shared" si="0"/>
        <v>0.192562899763679</v>
      </c>
      <c r="O69" s="55"/>
      <c r="P69" s="35">
        <f ca="1">IF(ROW()-MATCH(NDVImax,INDEX(D:D,Lig_min,1):INDEX(D:D,Lig_max,1),0)-Lig_min+1&gt;0,MAX(MIN(Zr_min+MAX(INDEX(G:G,Lig_min,1):INDEX(G:G,Lig_max,1))/MAX(MAX(INDEX(G:G,Lig_min,1):INDEX(G:G,Lig_max,1)),Max_fc_pour_Zrmax)*(Zr_max-Zr_min),Zr_max),Ze+0.001),MAX(MIN(Zr_min+G69/MAX(MAX(INDEX(G:G,Lig_min,1):INDEX(G:G,Lig_max,1)),Max_fc_pour_Zrmax)*(Zr_max-Zr_min),Zr_max),Ze+0.001))</f>
        <v>357.14099438037</v>
      </c>
      <c r="Q69" s="35">
        <f ca="1">IF(Z_sol&gt;0,Z_sol-P69,0.1)</f>
        <v>256.733556684064</v>
      </c>
      <c r="R69" s="35">
        <f ca="1">(Wfc-Wwp)*P69</f>
        <v>46.4283292694482</v>
      </c>
      <c r="S69" s="35">
        <f ca="1">(Wfc-Wwp)*Q69</f>
        <v>33.3753623689283</v>
      </c>
      <c r="T69" s="99">
        <f ca="1" t="shared" si="9"/>
        <v>0.15980191500624</v>
      </c>
      <c r="U69" s="99">
        <f ca="1" t="shared" si="10"/>
        <v>0.106111833175849</v>
      </c>
      <c r="V69" s="99">
        <f ca="1">IF(P69&gt;P68,IF(Q69&gt;1,MAX(AI68+(Wfc-Wwp)*(P69-P68)*AJ68/S68,0),AI68/P68*P69),MAX(AI68+(Wfc-Wwp)*(P69-P68)*AI68/R68,0))</f>
        <v>0.226001936366479</v>
      </c>
      <c r="W69" s="99">
        <f ca="1">IF(S69&gt;1,IF(P69&gt;P68,MAX(AJ68-(Wfc-Wwp)*(P69-P68)*AJ68/S68,0),MAX(AJ68-(Wfc-Wwp)*(P69-P68)*AI68/R68,0)),0)</f>
        <v>0</v>
      </c>
      <c r="X69" s="99">
        <f ca="1">IF(AND(OR(AND(dec_vide_TAW&lt;0,V69&gt;R69*(p+0.04*(5-I68))),AND(dec_vide_TAW&gt;0,V69&gt;R69*dec_vide_TAW)),H69&gt;MAX(INDEX(H:H,Lig_min,1):INDEX(H:H,ROW(X69),1))*Kcbmax_stop_irrig*IF(ROW(X69)-lig_kcbmax&gt;0,1,0),MIN(INDEX(H:H,ROW(X69),1):INDEX(H:H,lig_kcbmax,1))&gt;Kcbmin_start_irrig),MIN(MAX(V69-E69*Irri_man-C69,0),Lame_max),0)</f>
        <v>0</v>
      </c>
      <c r="Y69" s="99">
        <f ca="1">MIN(MAX(T69-C69-IF(fw&gt;0,X69/fw*Irri_auto+E69/fw*Irri_man,0),0),TEW)</f>
        <v>0.15980191500624</v>
      </c>
      <c r="Z69" s="99">
        <f ca="1">MIN(MAX(U69-C69,0),TEW)</f>
        <v>0.106111833175849</v>
      </c>
      <c r="AA69" s="99">
        <f ca="1">MIN(MAX(V69-C69-(X69*Irri_auto+E69*Irri_man),0),R69)</f>
        <v>0.226001936366479</v>
      </c>
      <c r="AB69" s="99">
        <f ca="1">MIN(MAX(W69+MIN(V69-C69-(X69*Irri_auto+E69*Irri_man),0),0),S69)</f>
        <v>0</v>
      </c>
      <c r="AC69" s="99">
        <f ca="1">-MIN(W69+MIN(V69-C69-(X69*Irri_auto+E69*Irri_man),0),0)</f>
        <v>0</v>
      </c>
      <c r="AD69" s="39">
        <f ca="1">IF(((R69-AA69)/P69-((Wfc-Wwp)*Ze-Y69)/Ze)/Wfc*DiffE&lt;0,MAX(((R69-AA69)/P69-((Wfc-Wwp)*Ze-Y69)/Ze)/Wfc*DiffE,(R69*Ze-((Wfc-Wwp)*Ze-Y69-AA69)*P69)/(P69+Ze)-AA69),MIN(((R69-AA69)/P69-((Wfc-Wwp)*Ze-Y69)/Ze)/Wfc*DiffE,(R69*Ze-((Wfc-Wwp)*Ze-Y69-AA69)*P69)/(P69+Ze)-AA69))</f>
        <v>1.61401649415305e-9</v>
      </c>
      <c r="AE69" s="39">
        <f ca="1">IF(((R69-AA69)/P69-((Wfc-Wwp)*Ze-Z69)/Ze)/Wfc*DiffE&lt;0,MAX(((R69-AA69)/P69-((Wfc-Wwp)*Ze-Z69)/Ze)/Wfc*DiffE,(R69*Ze-((Wfc-Wwp)*Ze-Z69-AA69)*P69)/(P69+Ze)-AA69),MIN(((R69-AA69)/P69-((Wfc-Wwp)*Ze-Z69)/Ze)/Wfc*DiffE,(R69*Ze-((Wfc-Wwp)*Ze-Z69-AA69)*P69)/(P69+Ze)-AA69))</f>
        <v>5.40214857545213e-10</v>
      </c>
      <c r="AF69" s="39">
        <f ca="1">IF(((S69-AB69)/Q69-(R69-AA69)/P69)/Wfc*DiffR&lt;0,MAX(((S69-AB69)/Q69-(R69-AA69)/P69)/Wfc*DiffR,(S69*P69-(R69-AA69-AB69)*Q69)/(P69+Q69)-AB69),MIN(((S69-AB69)/Q69-(R69-AA69)/P69)/Wfc*DiffR,(S69*P69-(R69-AA69-AB69)*Q69)/(P69+Q69)-AB69))</f>
        <v>1.58202180597179e-9</v>
      </c>
      <c r="AG69" s="99">
        <f ca="1">MIN(MAX(Y69+IF(AU69&gt;0,B69*AZ69/AU69,0)+BE69-AD69,0),TEW)</f>
        <v>0.295435695513368</v>
      </c>
      <c r="AH69" s="99">
        <f ca="1">MIN(MAX(Z69+IF(AV69&gt;0,B69*BA69/AV69,0)+BF69-AE69,0),TEW)</f>
        <v>0.196611220155978</v>
      </c>
      <c r="AI69" s="99">
        <f ca="1" t="shared" si="1"/>
        <v>0.418564834548136</v>
      </c>
      <c r="AJ69" s="99">
        <f ca="1" t="shared" si="2"/>
        <v>1.58202180597179e-9</v>
      </c>
      <c r="AK69" s="70">
        <f ca="1">IF((AU69+AV69)&gt;0,(TEW-(AG69*AU69+AH69*AV69)/(AU69+AV69))/TEW,(TEW-(AG69+AH69)/2)/TEW)</f>
        <v>0.99108118655054</v>
      </c>
      <c r="AL69" s="70">
        <f ca="1" t="shared" si="3"/>
        <v>0.990984710388371</v>
      </c>
      <c r="AM69" s="70">
        <f ca="1" t="shared" si="4"/>
        <v>0.999999999952599</v>
      </c>
      <c r="AN69" s="70">
        <f ca="1">Wwp+(Wfc-Wwp)*IF((AU69+AV69)&gt;0,(TEW-(AG69*AU69+AH69*AV69)/(AU69+AV69))/TEW,(TEW-(AG69+AH69)/2)/TEW)</f>
        <v>0.39884055425157</v>
      </c>
      <c r="AO69" s="70">
        <f ca="1">Wwp+(Wfc-Wwp)*(R69-AI69)/R69</f>
        <v>0.398828012350488</v>
      </c>
      <c r="AP69" s="70">
        <f ca="1">Wwp+(Wfc-Wwp)*(S69-AJ69)/S69</f>
        <v>0.399999999993838</v>
      </c>
      <c r="AQ69" s="70"/>
      <c r="AR69" s="70"/>
      <c r="AS69" s="70"/>
      <c r="AT69" s="70"/>
      <c r="AU69" s="70">
        <f ca="1">MIN((1-G69),fw)</f>
        <v>0.506666666666667</v>
      </c>
      <c r="AV69" s="70">
        <f ca="1" t="shared" si="5"/>
        <v>0</v>
      </c>
      <c r="AW69" s="70">
        <f ca="1">MIN((TEW-Y69)/(TEW-REW),1)</f>
        <v>0.126664183413115</v>
      </c>
      <c r="AX69" s="70">
        <f ca="1">MIN((TEW-Z69)/(TEW-REW),1)</f>
        <v>0.12687048007649</v>
      </c>
      <c r="AY69" s="70">
        <f ca="1">IF((AU69*(TEW-Y69))&gt;0,1/(1+((AV69*(TEW-Z69))/(AU69*(TEW-Y69)))),0)</f>
        <v>1</v>
      </c>
      <c r="AZ69" s="70">
        <f ca="1">MIN((AY69*AW69*(Kcmax-H69)),AU69*Kcmax)</f>
        <v>0.0752218104323603</v>
      </c>
      <c r="BA69" s="70">
        <f ca="1">MIN(((1-AY69)*AX69*(Kcmax-H69)),AV69*Kcmax)</f>
        <v>0</v>
      </c>
      <c r="BB69" s="70">
        <f ca="1" t="shared" si="6"/>
        <v>0.0229426521818699</v>
      </c>
      <c r="BC69" s="70">
        <f ca="1">MIN((R69-AA69)/(R69*(1-(p+0.04*(5-I68)))),1)</f>
        <v>1</v>
      </c>
      <c r="BD69" s="10">
        <f ca="1" t="shared" si="7"/>
        <v>0.169620247581809</v>
      </c>
      <c r="BE69" s="70">
        <f ca="1">MIN(IF((1-AA69/R69)&gt;0,(1-Y69/TEW)/(1-AA69/R69)*(Ze/P69)^0.6,0),1)*BC69*H69*B69</f>
        <v>0.0903522317621909</v>
      </c>
      <c r="BF69" s="70">
        <f ca="1">MIN(IF((1-AA69/R69)&gt;0,(1-Z69/TEW)/(1-AA69/R69)*(Ze/P69)^0.6,0),1)*BC69*H69*B69</f>
        <v>0.0904993875203442</v>
      </c>
      <c r="BH69" s="10">
        <f ca="1" t="shared" si="8"/>
        <v>0.0283422276318199</v>
      </c>
      <c r="BI69" s="10">
        <f ca="1">IF(F69&lt;&gt;"",(Moy_Etobs-F69)^2,"")</f>
        <v>1.55739960056597</v>
      </c>
    </row>
    <row r="70" spans="1:61">
      <c r="A70" s="38">
        <v>39063</v>
      </c>
      <c r="B70" s="10">
        <v>0.37</v>
      </c>
      <c r="C70" s="39">
        <v>0.198</v>
      </c>
      <c r="D70">
        <v>0.523</v>
      </c>
      <c r="E70" s="39">
        <v>0</v>
      </c>
      <c r="F70"/>
      <c r="G70" s="10">
        <f ca="1">MIN(MAX(IF(AND(Durpla&gt;ROW()-MATCH(NDVImax,INDEX(D:D,Lig_min,1):INDEX(D:D,Lig_max,1),0)-Lig_min+1,ROW()-MATCH(NDVImax,INDEX(D:D,Lig_min,1):INDEX(D:D,Lig_max,1),0)-Lig_min+1&gt;0,D70*a_fc+b_fc&gt;fc_fin),NDVImax*a_fc+b_fc,D70*a_fc+b_fc),0),1)</f>
        <v>0.497333333333333</v>
      </c>
      <c r="H70" s="55">
        <f>MIN(MAX(D70*a_kcb+b_kcb,0),Kcmax)</f>
        <v>0.560641137332874</v>
      </c>
      <c r="I70" s="70">
        <f ca="1" t="shared" si="0"/>
        <v>0.235110219821759</v>
      </c>
      <c r="O70" s="55"/>
      <c r="P70" s="35">
        <f ca="1">IF(ROW()-MATCH(NDVImax,INDEX(D:D,Lig_min,1):INDEX(D:D,Lig_max,1),0)-Lig_min+1&gt;0,MAX(MIN(Zr_min+MAX(INDEX(G:G,Lig_min,1):INDEX(G:G,Lig_max,1))/MAX(MAX(INDEX(G:G,Lig_min,1):INDEX(G:G,Lig_max,1)),Max_fc_pour_Zrmax)*(Zr_max-Zr_min),Zr_max),Ze+0.001),MAX(MIN(Zr_min+G70/MAX(MAX(INDEX(G:G,Lig_min,1):INDEX(G:G,Lig_max,1)),Max_fc_pour_Zrmax)*(Zr_max-Zr_min),Zr_max),Ze+0.001))</f>
        <v>359.02321865913</v>
      </c>
      <c r="Q70" s="35">
        <f ca="1">IF(Z_sol&gt;0,Z_sol-P70,0.1)</f>
        <v>254.851332405304</v>
      </c>
      <c r="R70" s="35">
        <f ca="1">(Wfc-Wwp)*P70</f>
        <v>46.6730184256869</v>
      </c>
      <c r="S70" s="35">
        <f ca="1">(Wfc-Wwp)*Q70</f>
        <v>33.1306732126895</v>
      </c>
      <c r="T70" s="99">
        <f ca="1" t="shared" si="9"/>
        <v>0.295435695513368</v>
      </c>
      <c r="U70" s="99">
        <f ca="1" t="shared" si="10"/>
        <v>0.196611220155978</v>
      </c>
      <c r="V70" s="99">
        <f ca="1">IF(P70&gt;P69,IF(Q70&gt;1,MAX(AI69+(Wfc-Wwp)*(P70-P69)*AJ69/S69,0),AI69/P69*P70),MAX(AI69+(Wfc-Wwp)*(P70-P69)*AI69/R69,0))</f>
        <v>0.418564834559735</v>
      </c>
      <c r="W70" s="99">
        <f ca="1">IF(S70&gt;1,IF(P70&gt;P69,MAX(AJ69-(Wfc-Wwp)*(P70-P69)*AJ69/S69,0),MAX(AJ69-(Wfc-Wwp)*(P70-P69)*AI69/R69,0)),0)</f>
        <v>1.5704233227381e-9</v>
      </c>
      <c r="X70" s="99">
        <f ca="1">IF(AND(OR(AND(dec_vide_TAW&lt;0,V70&gt;R70*(p+0.04*(5-I69))),AND(dec_vide_TAW&gt;0,V70&gt;R70*dec_vide_TAW)),H70&gt;MAX(INDEX(H:H,Lig_min,1):INDEX(H:H,ROW(X70),1))*Kcbmax_stop_irrig*IF(ROW(X70)-lig_kcbmax&gt;0,1,0),MIN(INDEX(H:H,ROW(X70),1):INDEX(H:H,lig_kcbmax,1))&gt;Kcbmin_start_irrig),MIN(MAX(V70-E70*Irri_man-C70,0),Lame_max),0)</f>
        <v>0</v>
      </c>
      <c r="Y70" s="99">
        <f ca="1">MIN(MAX(T70-C70-IF(fw&gt;0,X70/fw*Irri_auto+E70/fw*Irri_man,0),0),TEW)</f>
        <v>0.0974356955133684</v>
      </c>
      <c r="Z70" s="99">
        <f ca="1">MIN(MAX(U70-C70,0),TEW)</f>
        <v>0</v>
      </c>
      <c r="AA70" s="99">
        <f ca="1">MIN(MAX(V70-C70-(X70*Irri_auto+E70*Irri_man),0),R70)</f>
        <v>0.220564834559735</v>
      </c>
      <c r="AB70" s="99">
        <f ca="1">MIN(MAX(W70+MIN(V70-C70-(X70*Irri_auto+E70*Irri_man),0),0),S70)</f>
        <v>1.5704233227381e-9</v>
      </c>
      <c r="AC70" s="99">
        <f ca="1">-MIN(W70+MIN(V70-C70-(X70*Irri_auto+E70*Irri_man),0),0)</f>
        <v>0</v>
      </c>
      <c r="AD70" s="39">
        <f ca="1">IF(((R70-AA70)/P70-((Wfc-Wwp)*Ze-Y70)/Ze)/Wfc*DiffE&lt;0,MAX(((R70-AA70)/P70-((Wfc-Wwp)*Ze-Y70)/Ze)/Wfc*DiffE,(R70*Ze-((Wfc-Wwp)*Ze-Y70-AA70)*P70)/(P70+Ze)-AA70),MIN(((R70-AA70)/P70-((Wfc-Wwp)*Ze-Y70)/Ze)/Wfc*DiffE,(R70*Ze-((Wfc-Wwp)*Ze-Y70-AA70)*P70)/(P70+Ze)-AA70))</f>
        <v>4.12846429443392e-10</v>
      </c>
      <c r="AE70" s="39">
        <f ca="1">IF(((R70-AA70)/P70-((Wfc-Wwp)*Ze-Z70)/Ze)/Wfc*DiffE&lt;0,MAX(((R70-AA70)/P70-((Wfc-Wwp)*Ze-Z70)/Ze)/Wfc*DiffE,(R70*Ze-((Wfc-Wwp)*Ze-Z70-AA70)*P70)/(P70+Ze)-AA70),MIN(((R70-AA70)/P70-((Wfc-Wwp)*Ze-Z70)/Ze)/Wfc*DiffE,(R70*Ze-((Wfc-Wwp)*Ze-Z70-AA70)*P70)/(P70+Ze)-AA70))</f>
        <v>-1.53586748082399e-9</v>
      </c>
      <c r="AF70" s="39">
        <f ca="1">IF(((S70-AB70)/Q70-(R70-AA70)/P70)/Wfc*DiffR&lt;0,MAX(((S70-AB70)/Q70-(R70-AA70)/P70)/Wfc*DiffR,(S70*P70-(R70-AA70-AB70)*Q70)/(P70+Q70)-AB70),MIN(((S70-AB70)/Q70-(R70-AA70)/P70)/Wfc*DiffR,(S70*P70-(R70-AA70-AB70)*Q70)/(P70+Q70)-AB70))</f>
        <v>1.53586746541874e-9</v>
      </c>
      <c r="AG70" s="99">
        <f ca="1">MIN(MAX(Y70+IF(AU70&gt;0,B70*AZ70/AU70,0)+BE70-AD70,0),TEW)</f>
        <v>0.262829117479356</v>
      </c>
      <c r="AH70" s="99">
        <f ca="1">MIN(MAX(Z70+IF(AV70&gt;0,B70*BA70/AV70,0)+BF70-AE70,0),TEW)</f>
        <v>0.110666559314247</v>
      </c>
      <c r="AI70" s="99">
        <f ca="1" t="shared" si="1"/>
        <v>0.455675052845627</v>
      </c>
      <c r="AJ70" s="99">
        <f ca="1" t="shared" si="2"/>
        <v>3.10629078815684e-9</v>
      </c>
      <c r="AK70" s="70">
        <f ca="1">IF((AU70+AV70)&gt;0,(TEW-(AG70*AU70+AH70*AV70)/(AU70+AV70))/TEW,(TEW-(AG70+AH70)/2)/TEW)</f>
        <v>0.992065536076095</v>
      </c>
      <c r="AL70" s="70">
        <f ca="1" t="shared" si="3"/>
        <v>0.990236863433824</v>
      </c>
      <c r="AM70" s="70">
        <f ca="1" t="shared" si="4"/>
        <v>0.999999999906241</v>
      </c>
      <c r="AN70" s="70">
        <f ca="1">Wwp+(Wfc-Wwp)*IF((AU70+AV70)&gt;0,(TEW-(AG70*AU70+AH70*AV70)/(AU70+AV70))/TEW,(TEW-(AG70+AH70)/2)/TEW)</f>
        <v>0.398968519689892</v>
      </c>
      <c r="AO70" s="70">
        <f ca="1">Wwp+(Wfc-Wwp)*(R70-AI70)/R70</f>
        <v>0.398730792246397</v>
      </c>
      <c r="AP70" s="70">
        <f ca="1">Wwp+(Wfc-Wwp)*(S70-AJ70)/S70</f>
        <v>0.399999999987811</v>
      </c>
      <c r="AQ70" s="70"/>
      <c r="AR70" s="70"/>
      <c r="AS70" s="70"/>
      <c r="AT70" s="70"/>
      <c r="AU70" s="70">
        <f ca="1">MIN((1-G70),fw)</f>
        <v>0.502666666666667</v>
      </c>
      <c r="AV70" s="70">
        <f ca="1" t="shared" si="5"/>
        <v>0</v>
      </c>
      <c r="AW70" s="70">
        <f ca="1">MIN((TEW-Y70)/(TEW-REW),1)</f>
        <v>0.126903816927352</v>
      </c>
      <c r="AX70" s="70">
        <f ca="1">MIN((TEW-Z70)/(TEW-REW),1)</f>
        <v>0.12727820001996</v>
      </c>
      <c r="AY70" s="70">
        <f ca="1">IF((AU70*(TEW-Y70))&gt;0,1/(1+((AV70*(TEW-Z70))/(AU70*(TEW-Y70)))),0)</f>
        <v>1</v>
      </c>
      <c r="AZ70" s="70">
        <f ca="1">MIN((AY70*AW70*(Kcmax-H70)),AU70*Kcmax)</f>
        <v>0.0747918892124216</v>
      </c>
      <c r="BA70" s="70">
        <f ca="1">MIN(((1-AY70)*AX70*(Kcmax-H70)),AV70*Kcmax)</f>
        <v>0</v>
      </c>
      <c r="BB70" s="70">
        <f ca="1" t="shared" si="6"/>
        <v>0.027672999008596</v>
      </c>
      <c r="BC70" s="70">
        <f ca="1">MIN((R70-AA70)/(R70*(1-(p+0.04*(5-I69)))),1)</f>
        <v>1</v>
      </c>
      <c r="BD70" s="10">
        <f ca="1" t="shared" si="7"/>
        <v>0.207437220813163</v>
      </c>
      <c r="BE70" s="70">
        <f ca="1">MIN(IF((1-AA70/R70)&gt;0,(1-Y70/TEW)/(1-AA70/R70)*(Ze/P70)^0.6,0),1)*BC70*H70*B70</f>
        <v>0.110341037083218</v>
      </c>
      <c r="BF70" s="70">
        <f ca="1">MIN(IF((1-AA70/R70)&gt;0,(1-Z70/TEW)/(1-AA70/R70)*(Ze/P70)^0.6,0),1)*BC70*H70*B70</f>
        <v>0.110666557778379</v>
      </c>
      <c r="BH70" s="10" t="str">
        <f ca="1" t="shared" si="8"/>
        <v/>
      </c>
      <c r="BI70" s="10" t="str">
        <f ca="1">IF(F70&lt;&gt;"",(Moy_Etobs-F70)^2,"")</f>
        <v/>
      </c>
    </row>
    <row r="71" spans="1:61">
      <c r="A71" s="38">
        <v>39064</v>
      </c>
      <c r="B71" s="10">
        <v>0.344</v>
      </c>
      <c r="C71" s="39">
        <v>0</v>
      </c>
      <c r="D71">
        <v>0.527</v>
      </c>
      <c r="E71" s="39">
        <v>0</v>
      </c>
      <c r="F71" s="10">
        <v>0.4103406</v>
      </c>
      <c r="G71" s="10">
        <f ca="1">MIN(MAX(IF(AND(Durpla&gt;ROW()-MATCH(NDVImax,INDEX(D:D,Lig_min,1):INDEX(D:D,Lig_max,1),0)-Lig_min+1,ROW()-MATCH(NDVImax,INDEX(D:D,Lig_min,1):INDEX(D:D,Lig_max,1),0)-Lig_min+1&gt;0,D71*a_fc+b_fc&gt;fc_fin),NDVImax*a_fc+b_fc,D71*a_fc+b_fc),0),1)</f>
        <v>0.502666666666667</v>
      </c>
      <c r="H71" s="55">
        <f>MIN(MAX(D71*a_kcb+b_kcb,0),Kcmax)</f>
        <v>0.566653374730546</v>
      </c>
      <c r="I71" s="70">
        <f ca="1" t="shared" si="0"/>
        <v>0.220267180283717</v>
      </c>
      <c r="O71" s="55"/>
      <c r="P71" s="35">
        <f ca="1">IF(ROW()-MATCH(NDVImax,INDEX(D:D,Lig_min,1):INDEX(D:D,Lig_max,1),0)-Lig_min+1&gt;0,MAX(MIN(Zr_min+MAX(INDEX(G:G,Lig_min,1):INDEX(G:G,Lig_max,1))/MAX(MAX(INDEX(G:G,Lig_min,1):INDEX(G:G,Lig_max,1)),Max_fc_pour_Zrmax)*(Zr_max-Zr_min),Zr_max),Ze+0.001),MAX(MIN(Zr_min+G71/MAX(MAX(INDEX(G:G,Lig_min,1):INDEX(G:G,Lig_max,1)),Max_fc_pour_Zrmax)*(Zr_max-Zr_min),Zr_max),Ze+0.001))</f>
        <v>361.53285103081</v>
      </c>
      <c r="Q71" s="35">
        <f ca="1">IF(Z_sol&gt;0,Z_sol-P71,0.1)</f>
        <v>252.341700033624</v>
      </c>
      <c r="R71" s="35">
        <f ca="1">(Wfc-Wwp)*P71</f>
        <v>46.9992706340053</v>
      </c>
      <c r="S71" s="35">
        <f ca="1">(Wfc-Wwp)*Q71</f>
        <v>32.8044210043711</v>
      </c>
      <c r="T71" s="99">
        <f ca="1" t="shared" si="9"/>
        <v>0.262829117479356</v>
      </c>
      <c r="U71" s="99">
        <f ca="1" t="shared" si="10"/>
        <v>0.110666559314247</v>
      </c>
      <c r="V71" s="99">
        <f ca="1">IF(P71&gt;P70,IF(Q71&gt;1,MAX(AI70+(Wfc-Wwp)*(P71-P70)*AJ70/S70,0),AI70/P70*P71),MAX(AI70+(Wfc-Wwp)*(P71-P70)*AI70/R70,0))</f>
        <v>0.455675052876216</v>
      </c>
      <c r="W71" s="99">
        <f ca="1">IF(S71&gt;1,IF(P71&gt;P70,MAX(AJ70-(Wfc-Wwp)*(P71-P70)*AJ70/S70,0),MAX(AJ70-(Wfc-Wwp)*(P71-P70)*AI70/R70,0)),0)</f>
        <v>3.07570178615228e-9</v>
      </c>
      <c r="X71" s="99">
        <f ca="1">IF(AND(OR(AND(dec_vide_TAW&lt;0,V71&gt;R71*(p+0.04*(5-I70))),AND(dec_vide_TAW&gt;0,V71&gt;R71*dec_vide_TAW)),H71&gt;MAX(INDEX(H:H,Lig_min,1):INDEX(H:H,ROW(X71),1))*Kcbmax_stop_irrig*IF(ROW(X71)-lig_kcbmax&gt;0,1,0),MIN(INDEX(H:H,ROW(X71),1):INDEX(H:H,lig_kcbmax,1))&gt;Kcbmin_start_irrig),MIN(MAX(V71-E71*Irri_man-C71,0),Lame_max),0)</f>
        <v>0</v>
      </c>
      <c r="Y71" s="99">
        <f ca="1">MIN(MAX(T71-C71-IF(fw&gt;0,X71/fw*Irri_auto+E71/fw*Irri_man,0),0),TEW)</f>
        <v>0.262829117479356</v>
      </c>
      <c r="Z71" s="99">
        <f ca="1">MIN(MAX(U71-C71,0),TEW)</f>
        <v>0.110666559314247</v>
      </c>
      <c r="AA71" s="99">
        <f ca="1">MIN(MAX(V71-C71-(X71*Irri_auto+E71*Irri_man),0),R71)</f>
        <v>0.455675052876216</v>
      </c>
      <c r="AB71" s="99">
        <f ca="1">MIN(MAX(W71+MIN(V71-C71-(X71*Irri_auto+E71*Irri_man),0),0),S71)</f>
        <v>3.07570178615228e-9</v>
      </c>
      <c r="AC71" s="99">
        <f ca="1">-MIN(W71+MIN(V71-C71-(X71*Irri_auto+E71*Irri_man),0),0)</f>
        <v>0</v>
      </c>
      <c r="AD71" s="39">
        <f ca="1">IF(((R71-AA71)/P71-((Wfc-Wwp)*Ze-Y71)/Ze)/Wfc*DiffE&lt;0,MAX(((R71-AA71)/P71-((Wfc-Wwp)*Ze-Y71)/Ze)/Wfc*DiffE,(R71*Ze-((Wfc-Wwp)*Ze-Y71-AA71)*P71)/(P71+Ze)-AA71),MIN(((R71-AA71)/P71-((Wfc-Wwp)*Ze-Y71)/Ze)/Wfc*DiffE,(R71*Ze-((Wfc-Wwp)*Ze-Y71-AA71)*P71)/(P71+Ze)-AA71))</f>
        <v>2.10558893656128e-9</v>
      </c>
      <c r="AE71" s="39">
        <f ca="1">IF(((R71-AA71)/P71-((Wfc-Wwp)*Ze-Z71)/Ze)/Wfc*DiffE&lt;0,MAX(((R71-AA71)/P71-((Wfc-Wwp)*Ze-Z71)/Ze)/Wfc*DiffE,(R71*Ze-((Wfc-Wwp)*Ze-Z71-AA71)*P71)/(P71+Ze)-AA71),MIN(((R71-AA71)/P71-((Wfc-Wwp)*Ze-Z71)/Ze)/Wfc*DiffE,(R71*Ze-((Wfc-Wwp)*Ze-Z71-AA71)*P71)/(P71+Ze)-AA71))</f>
        <v>-9.37662226740896e-10</v>
      </c>
      <c r="AF71" s="39">
        <f ca="1">IF(((S71-AB71)/Q71-(R71-AA71)/P71)/Wfc*DiffR&lt;0,MAX(((S71-AB71)/Q71-(R71-AA71)/P71)/Wfc*DiffR,(S71*P71-(R71-AA71-AB71)*Q71)/(P71+Q71)-AB71),MIN(((S71-AB71)/Q71-(R71-AA71)/P71)/Wfc*DiffR,(S71*P71-(R71-AA71-AB71)*Q71)/(P71+Q71)-AB71))</f>
        <v>3.15099338255416e-9</v>
      </c>
      <c r="AG71" s="99">
        <f ca="1">MIN(MAX(Y71+IF(AU71&gt;0,B71*AZ71/AU71,0)+BE71-AD71,0),TEW)</f>
        <v>0.41703118910157</v>
      </c>
      <c r="AH71" s="99">
        <f ca="1">MIN(MAX(Z71+IF(AV71&gt;0,B71*BA71/AV71,0)+BF71-AE71,0),TEW)</f>
        <v>0.214398166939498</v>
      </c>
      <c r="AI71" s="99">
        <f ca="1" t="shared" si="1"/>
        <v>0.675942230008939</v>
      </c>
      <c r="AJ71" s="99">
        <f ca="1" t="shared" si="2"/>
        <v>6.22669516870644e-9</v>
      </c>
      <c r="AK71" s="70">
        <f ca="1">IF((AU71+AV71)&gt;0,(TEW-(AG71*AU71+AH71*AV71)/(AU71+AV71))/TEW,(TEW-(AG71+AH71)/2)/TEW)</f>
        <v>0.987410379196934</v>
      </c>
      <c r="AL71" s="70">
        <f ca="1" t="shared" si="3"/>
        <v>0.98561802723977</v>
      </c>
      <c r="AM71" s="70">
        <f ca="1" t="shared" si="4"/>
        <v>0.999999999810187</v>
      </c>
      <c r="AN71" s="70">
        <f ca="1">Wwp+(Wfc-Wwp)*IF((AU71+AV71)&gt;0,(TEW-(AG71*AU71+AH71*AV71)/(AU71+AV71))/TEW,(TEW-(AG71+AH71)/2)/TEW)</f>
        <v>0.398363349295601</v>
      </c>
      <c r="AO71" s="70">
        <f ca="1">Wwp+(Wfc-Wwp)*(R71-AI71)/R71</f>
        <v>0.39813034354117</v>
      </c>
      <c r="AP71" s="70">
        <f ca="1">Wwp+(Wfc-Wwp)*(S71-AJ71)/S71</f>
        <v>0.399999999975324</v>
      </c>
      <c r="AQ71" s="70"/>
      <c r="AR71" s="70"/>
      <c r="AS71" s="70"/>
      <c r="AT71" s="70"/>
      <c r="AU71" s="70">
        <f ca="1">MIN((1-G71),fw)</f>
        <v>0.497333333333333</v>
      </c>
      <c r="AV71" s="70">
        <f ca="1" t="shared" si="5"/>
        <v>0</v>
      </c>
      <c r="AW71" s="70">
        <f ca="1">MIN((TEW-Y71)/(TEW-REW),1)</f>
        <v>0.126268315733602</v>
      </c>
      <c r="AX71" s="70">
        <f ca="1">MIN((TEW-Z71)/(TEW-REW),1)</f>
        <v>0.126852979175525</v>
      </c>
      <c r="AY71" s="70">
        <f ca="1">IF((AU71*(TEW-Y71))&gt;0,1/(1+((AV71*(TEW-Z71))/(AU71*(TEW-Y71)))),0)</f>
        <v>1</v>
      </c>
      <c r="AZ71" s="70">
        <f ca="1">MIN((AY71*AW71*(Kcmax-H71)),AU71*Kcmax)</f>
        <v>0.0736581958616549</v>
      </c>
      <c r="BA71" s="70">
        <f ca="1">MIN(((1-AY71)*AX71*(Kcmax-H71)),AV71*Kcmax)</f>
        <v>0</v>
      </c>
      <c r="BB71" s="70">
        <f ca="1" t="shared" si="6"/>
        <v>0.0253384193764093</v>
      </c>
      <c r="BC71" s="70">
        <f ca="1">MIN((R71-AA71)/(R71*(1-(p+0.04*(5-I70)))),1)</f>
        <v>1</v>
      </c>
      <c r="BD71" s="10">
        <f ca="1" t="shared" si="7"/>
        <v>0.194928760907308</v>
      </c>
      <c r="BE71" s="70">
        <f ca="1">MIN(IF((1-AA71/R71)&gt;0,(1-Y71/TEW)/(1-AA71/R71)*(Ze/P71)^0.6,0),1)*BC71*H71*B71</f>
        <v>0.103253509298025</v>
      </c>
      <c r="BF71" s="70">
        <f ca="1">MIN(IF((1-AA71/R71)&gt;0,(1-Z71/TEW)/(1-AA71/R71)*(Ze/P71)^0.6,0),1)*BC71*H71*B71</f>
        <v>0.103731606687589</v>
      </c>
      <c r="BH71" s="10">
        <f ca="1" t="shared" si="8"/>
        <v>0.0361279048826423</v>
      </c>
      <c r="BI71" s="10">
        <f ca="1">IF(F71&lt;&gt;"",(Moy_Etobs-F71)^2,"")</f>
        <v>1.43647888935101</v>
      </c>
    </row>
    <row r="72" spans="1:61">
      <c r="A72" s="38">
        <v>39065</v>
      </c>
      <c r="B72" s="10">
        <v>0.251</v>
      </c>
      <c r="C72" s="39">
        <v>0.198</v>
      </c>
      <c r="D72">
        <v>0.53</v>
      </c>
      <c r="E72" s="39">
        <v>0</v>
      </c>
      <c r="F72"/>
      <c r="G72" s="10">
        <f ca="1">MIN(MAX(IF(AND(Durpla&gt;ROW()-MATCH(NDVImax,INDEX(D:D,Lig_min,1):INDEX(D:D,Lig_max,1),0)-Lig_min+1,ROW()-MATCH(NDVImax,INDEX(D:D,Lig_min,1):INDEX(D:D,Lig_max,1),0)-Lig_min+1&gt;0,D72*a_fc+b_fc&gt;fc_fin),NDVImax*a_fc+b_fc,D72*a_fc+b_fc),0),1)</f>
        <v>0.506666666666667</v>
      </c>
      <c r="H72" s="55">
        <f>MIN(MAX(D72*a_kcb+b_kcb,0),Kcmax)</f>
        <v>0.571162552778799</v>
      </c>
      <c r="I72" s="70">
        <f ca="1" t="shared" si="0"/>
        <v>0.161731547142346</v>
      </c>
      <c r="O72" s="55"/>
      <c r="P72" s="35">
        <f ca="1">IF(ROW()-MATCH(NDVImax,INDEX(D:D,Lig_min,1):INDEX(D:D,Lig_max,1),0)-Lig_min+1&gt;0,MAX(MIN(Zr_min+MAX(INDEX(G:G,Lig_min,1):INDEX(G:G,Lig_max,1))/MAX(MAX(INDEX(G:G,Lig_min,1):INDEX(G:G,Lig_max,1)),Max_fc_pour_Zrmax)*(Zr_max-Zr_min),Zr_max),Ze+0.001),MAX(MIN(Zr_min+G72/MAX(MAX(INDEX(G:G,Lig_min,1):INDEX(G:G,Lig_max,1)),Max_fc_pour_Zrmax)*(Zr_max-Zr_min),Zr_max),Ze+0.001))</f>
        <v>363.41507530957</v>
      </c>
      <c r="Q72" s="35">
        <f ca="1">IF(Z_sol&gt;0,Z_sol-P72,0.1)</f>
        <v>250.459475754864</v>
      </c>
      <c r="R72" s="35">
        <f ca="1">(Wfc-Wwp)*P72</f>
        <v>47.243959790244</v>
      </c>
      <c r="S72" s="35">
        <f ca="1">(Wfc-Wwp)*Q72</f>
        <v>32.5597318481324</v>
      </c>
      <c r="T72" s="99">
        <f ca="1" t="shared" si="9"/>
        <v>0.41703118910157</v>
      </c>
      <c r="U72" s="99">
        <f ca="1" t="shared" si="10"/>
        <v>0.214398166939498</v>
      </c>
      <c r="V72" s="99">
        <f ca="1">IF(P72&gt;P71,IF(Q72&gt;1,MAX(AI71+(Wfc-Wwp)*(P72-P71)*AJ71/S71,0),AI71/P71*P72),MAX(AI71+(Wfc-Wwp)*(P72-P71)*AI71/R71,0))</f>
        <v>0.675942230055384</v>
      </c>
      <c r="W72" s="99">
        <f ca="1">IF(S72&gt;1,IF(P72&gt;P71,MAX(AJ71-(Wfc-Wwp)*(P72-P71)*AJ71/S71,0),MAX(AJ71-(Wfc-Wwp)*(P72-P71)*AI71/R71,0)),0)</f>
        <v>6.18025006343287e-9</v>
      </c>
      <c r="X72" s="99">
        <f ca="1">IF(AND(OR(AND(dec_vide_TAW&lt;0,V72&gt;R72*(p+0.04*(5-I71))),AND(dec_vide_TAW&gt;0,V72&gt;R72*dec_vide_TAW)),H72&gt;MAX(INDEX(H:H,Lig_min,1):INDEX(H:H,ROW(X72),1))*Kcbmax_stop_irrig*IF(ROW(X72)-lig_kcbmax&gt;0,1,0),MIN(INDEX(H:H,ROW(X72),1):INDEX(H:H,lig_kcbmax,1))&gt;Kcbmin_start_irrig),MIN(MAX(V72-E72*Irri_man-C72,0),Lame_max),0)</f>
        <v>0</v>
      </c>
      <c r="Y72" s="99">
        <f ca="1">MIN(MAX(T72-C72-IF(fw&gt;0,X72/fw*Irri_auto+E72/fw*Irri_man,0),0),TEW)</f>
        <v>0.21903118910157</v>
      </c>
      <c r="Z72" s="99">
        <f ca="1">MIN(MAX(U72-C72,0),TEW)</f>
        <v>0.0163981669394976</v>
      </c>
      <c r="AA72" s="99">
        <f ca="1">MIN(MAX(V72-C72-(X72*Irri_auto+E72*Irri_man),0),R72)</f>
        <v>0.477942230055384</v>
      </c>
      <c r="AB72" s="99">
        <f ca="1">MIN(MAX(W72+MIN(V72-C72-(X72*Irri_auto+E72*Irri_man),0),0),S72)</f>
        <v>6.18025006343287e-9</v>
      </c>
      <c r="AC72" s="99">
        <f ca="1">-MIN(W72+MIN(V72-C72-(X72*Irri_auto+E72*Irri_man),0),0)</f>
        <v>0</v>
      </c>
      <c r="AD72" s="39">
        <f ca="1">IF(((R72-AA72)/P72-((Wfc-Wwp)*Ze-Y72)/Ze)/Wfc*DiffE&lt;0,MAX(((R72-AA72)/P72-((Wfc-Wwp)*Ze-Y72)/Ze)/Wfc*DiffE,(R72*Ze-((Wfc-Wwp)*Ze-Y72-AA72)*P72)/(P72+Ze)-AA72),MIN(((R72-AA72)/P72-((Wfc-Wwp)*Ze-Y72)/Ze)/Wfc*DiffE,(R72*Ze-((Wfc-Wwp)*Ze-Y72-AA72)*P72)/(P72+Ze)-AA72))</f>
        <v>1.09277015042125e-9</v>
      </c>
      <c r="AE72" s="39">
        <f ca="1">IF(((R72-AA72)/P72-((Wfc-Wwp)*Ze-Z72)/Ze)/Wfc*DiffE&lt;0,MAX(((R72-AA72)/P72-((Wfc-Wwp)*Ze-Z72)/Ze)/Wfc*DiffE,(R72*Ze-((Wfc-Wwp)*Ze-Z72-AA72)*P72)/(P72+Ze)-AA72),MIN(((R72-AA72)/P72-((Wfc-Wwp)*Ze-Z72)/Ze)/Wfc*DiffE,(R72*Ze-((Wfc-Wwp)*Ze-Z72-AA72)*P72)/(P72+Ze)-AA72))</f>
        <v>-2.95989029282018e-9</v>
      </c>
      <c r="AF72" s="39">
        <f ca="1">IF(((S72-AB72)/Q72-(R72-AA72)/P72)/Wfc*DiffR&lt;0,MAX(((S72-AB72)/Q72-(R72-AA72)/P72)/Wfc*DiffR,(S72*P72-(R72-AA72-AB72)*Q72)/(P72+Q72)-AB72),MIN(((S72-AB72)/Q72-(R72-AA72)/P72)/Wfc*DiffR,(S72*P72-(R72-AA72-AB72)*Q72)/(P72+Q72)-AB72))</f>
        <v>3.28785356992108e-9</v>
      </c>
      <c r="AG72" s="99">
        <f ca="1">MIN(MAX(Y72+IF(AU72&gt;0,B72*AZ72/AU72,0)+BE72-AD72,0),TEW)</f>
        <v>0.332102631622117</v>
      </c>
      <c r="AH72" s="99">
        <f ca="1">MIN(MAX(Z72+IF(AV72&gt;0,B72*BA72/AV72,0)+BF72-AE72,0),TEW)</f>
        <v>0.0927006314656719</v>
      </c>
      <c r="AI72" s="99">
        <f ca="1" t="shared" si="1"/>
        <v>0.639673773909877</v>
      </c>
      <c r="AJ72" s="99">
        <f ca="1" t="shared" si="2"/>
        <v>9.46810363335394e-9</v>
      </c>
      <c r="AK72" s="70">
        <f ca="1">IF((AU72+AV72)&gt;0,(TEW-(AG72*AU72+AH72*AV72)/(AU72+AV72))/TEW,(TEW-(AG72+AH72)/2)/TEW)</f>
        <v>0.989974260177446</v>
      </c>
      <c r="AL72" s="70">
        <f ca="1" t="shared" si="3"/>
        <v>0.986460199848829</v>
      </c>
      <c r="AM72" s="70">
        <f ca="1" t="shared" si="4"/>
        <v>0.999999999709208</v>
      </c>
      <c r="AN72" s="70">
        <f ca="1">Wwp+(Wfc-Wwp)*IF((AU72+AV72)&gt;0,(TEW-(AG72*AU72+AH72*AV72)/(AU72+AV72))/TEW,(TEW-(AG72+AH72)/2)/TEW)</f>
        <v>0.398696653823068</v>
      </c>
      <c r="AO72" s="70">
        <f ca="1">Wwp+(Wfc-Wwp)*(R72-AI72)/R72</f>
        <v>0.398239825980348</v>
      </c>
      <c r="AP72" s="70">
        <f ca="1">Wwp+(Wfc-Wwp)*(S72-AJ72)/S72</f>
        <v>0.399999999962197</v>
      </c>
      <c r="AQ72" s="70"/>
      <c r="AR72" s="70"/>
      <c r="AS72" s="70"/>
      <c r="AT72" s="70"/>
      <c r="AU72" s="70">
        <f ca="1">MIN((1-G72),fw)</f>
        <v>0.493333333333333</v>
      </c>
      <c r="AV72" s="70">
        <f ca="1" t="shared" si="5"/>
        <v>0</v>
      </c>
      <c r="AW72" s="70">
        <f ca="1">MIN((TEW-Y72)/(TEW-REW),1)</f>
        <v>0.126436603174765</v>
      </c>
      <c r="AX72" s="70">
        <f ca="1">MIN((TEW-Z72)/(TEW-REW),1)</f>
        <v>0.127215192346853</v>
      </c>
      <c r="AY72" s="70">
        <f ca="1">IF((AU72*(TEW-Y72))&gt;0,1/(1+((AV72*(TEW-Z72))/(AU72*(TEW-Y72)))),0)</f>
        <v>1</v>
      </c>
      <c r="AZ72" s="70">
        <f ca="1">MIN((AY72*AW72*(Kcmax-H72)),AU72*Kcmax)</f>
        <v>0.0731862406170012</v>
      </c>
      <c r="BA72" s="70">
        <f ca="1">MIN(((1-AY72)*AX72*(Kcmax-H72)),AV72*Kcmax)</f>
        <v>0</v>
      </c>
      <c r="BB72" s="70">
        <f ca="1" t="shared" si="6"/>
        <v>0.0183697463948673</v>
      </c>
      <c r="BC72" s="70">
        <f ca="1">MIN((R72-AA72)/(R72*(1-(p+0.04*(5-I71)))),1)</f>
        <v>1</v>
      </c>
      <c r="BD72" s="10">
        <f ca="1" t="shared" si="7"/>
        <v>0.143361800747479</v>
      </c>
      <c r="BE72" s="70">
        <f ca="1">MIN(IF((1-AA72/R72)&gt;0,(1-Y72/TEW)/(1-AA72/R72)*(Ze/P72)^0.6,0),1)*BC72*H72*B72</f>
        <v>0.075835471191289</v>
      </c>
      <c r="BF72" s="70">
        <f ca="1">MIN(IF((1-AA72/R72)&gt;0,(1-Z72/TEW)/(1-AA72/R72)*(Ze/P72)^0.6,0),1)*BC72*H72*B72</f>
        <v>0.076302461566284</v>
      </c>
      <c r="BH72" s="10" t="str">
        <f ca="1" t="shared" si="8"/>
        <v/>
      </c>
      <c r="BI72" s="10" t="str">
        <f ca="1">IF(F72&lt;&gt;"",(Moy_Etobs-F72)^2,"")</f>
        <v/>
      </c>
    </row>
    <row r="73" spans="1:61">
      <c r="A73" s="38">
        <v>39066</v>
      </c>
      <c r="B73" s="10">
        <v>0.604</v>
      </c>
      <c r="C73" s="39">
        <v>0</v>
      </c>
      <c r="D73">
        <v>0.533</v>
      </c>
      <c r="E73" s="39">
        <v>0</v>
      </c>
      <c r="F73"/>
      <c r="G73" s="10">
        <f ca="1">MIN(MAX(IF(AND(Durpla&gt;ROW()-MATCH(NDVImax,INDEX(D:D,Lig_min,1):INDEX(D:D,Lig_max,1),0)-Lig_min+1,ROW()-MATCH(NDVImax,INDEX(D:D,Lig_min,1):INDEX(D:D,Lig_max,1),0)-Lig_min+1&gt;0,D73*a_fc+b_fc&gt;fc_fin),NDVImax*a_fc+b_fc,D73*a_fc+b_fc),0),1)</f>
        <v>0.510666666666667</v>
      </c>
      <c r="H73" s="55">
        <f>MIN(MAX(D73*a_kcb+b_kcb,0),Kcmax)</f>
        <v>0.575671730827053</v>
      </c>
      <c r="I73" s="70">
        <f ca="1" t="shared" si="0"/>
        <v>0.391415147030037</v>
      </c>
      <c r="O73" s="55"/>
      <c r="P73" s="35">
        <f ca="1">IF(ROW()-MATCH(NDVImax,INDEX(D:D,Lig_min,1):INDEX(D:D,Lig_max,1),0)-Lig_min+1&gt;0,MAX(MIN(Zr_min+MAX(INDEX(G:G,Lig_min,1):INDEX(G:G,Lig_max,1))/MAX(MAX(INDEX(G:G,Lig_min,1):INDEX(G:G,Lig_max,1)),Max_fc_pour_Zrmax)*(Zr_max-Zr_min),Zr_max),Ze+0.001),MAX(MIN(Zr_min+G73/MAX(MAX(INDEX(G:G,Lig_min,1):INDEX(G:G,Lig_max,1)),Max_fc_pour_Zrmax)*(Zr_max-Zr_min),Zr_max),Ze+0.001))</f>
        <v>365.297299588329</v>
      </c>
      <c r="Q73" s="35">
        <f ca="1">IF(Z_sol&gt;0,Z_sol-P73,0.1)</f>
        <v>248.577251476105</v>
      </c>
      <c r="R73" s="35">
        <f ca="1">(Wfc-Wwp)*P73</f>
        <v>47.4886489464828</v>
      </c>
      <c r="S73" s="35">
        <f ca="1">(Wfc-Wwp)*Q73</f>
        <v>32.3150426918936</v>
      </c>
      <c r="T73" s="99">
        <f ca="1" t="shared" si="9"/>
        <v>0.332102631622117</v>
      </c>
      <c r="U73" s="99">
        <f ca="1" t="shared" si="10"/>
        <v>0.0927006314656719</v>
      </c>
      <c r="V73" s="99">
        <f ca="1">IF(P73&gt;P72,IF(Q73&gt;1,MAX(AI72+(Wfc-Wwp)*(P73-P72)*AJ72/S72,0),AI72/P72*P73),MAX(AI72+(Wfc-Wwp)*(P73-P72)*AI72/R72,0))</f>
        <v>0.63967377398103</v>
      </c>
      <c r="W73" s="99">
        <f ca="1">IF(S73&gt;1,IF(P73&gt;P72,MAX(AJ72-(Wfc-Wwp)*(P73-P72)*AJ72/S72,0),MAX(AJ72-(Wfc-Wwp)*(P73-P72)*AI72/R72,0)),0)</f>
        <v>9.39695002864883e-9</v>
      </c>
      <c r="X73" s="99">
        <f ca="1">IF(AND(OR(AND(dec_vide_TAW&lt;0,V73&gt;R73*(p+0.04*(5-I72))),AND(dec_vide_TAW&gt;0,V73&gt;R73*dec_vide_TAW)),H73&gt;MAX(INDEX(H:H,Lig_min,1):INDEX(H:H,ROW(X73),1))*Kcbmax_stop_irrig*IF(ROW(X73)-lig_kcbmax&gt;0,1,0),MIN(INDEX(H:H,ROW(X73),1):INDEX(H:H,lig_kcbmax,1))&gt;Kcbmin_start_irrig),MIN(MAX(V73-E73*Irri_man-C73,0),Lame_max),0)</f>
        <v>0</v>
      </c>
      <c r="Y73" s="99">
        <f ca="1">MIN(MAX(T73-C73-IF(fw&gt;0,X73/fw*Irri_auto+E73/fw*Irri_man,0),0),TEW)</f>
        <v>0.332102631622117</v>
      </c>
      <c r="Z73" s="99">
        <f ca="1">MIN(MAX(U73-C73,0),TEW)</f>
        <v>0.0927006314656719</v>
      </c>
      <c r="AA73" s="99">
        <f ca="1">MIN(MAX(V73-C73-(X73*Irri_auto+E73*Irri_man),0),R73)</f>
        <v>0.63967377398103</v>
      </c>
      <c r="AB73" s="99">
        <f ca="1">MIN(MAX(W73+MIN(V73-C73-(X73*Irri_auto+E73*Irri_man),0),0),S73)</f>
        <v>9.39695002864883e-9</v>
      </c>
      <c r="AC73" s="99">
        <f ca="1">-MIN(W73+MIN(V73-C73-(X73*Irri_auto+E73*Irri_man),0),0)</f>
        <v>0</v>
      </c>
      <c r="AD73" s="39">
        <f ca="1">IF(((R73-AA73)/P73-((Wfc-Wwp)*Ze-Y73)/Ze)/Wfc*DiffE&lt;0,MAX(((R73-AA73)/P73-((Wfc-Wwp)*Ze-Y73)/Ze)/Wfc*DiffE,(R73*Ze-((Wfc-Wwp)*Ze-Y73-AA73)*P73)/(P73+Ze)-AA73),MIN(((R73-AA73)/P73-((Wfc-Wwp)*Ze-Y73)/Ze)/Wfc*DiffE,(R73*Ze-((Wfc-Wwp)*Ze-Y73-AA73)*P73)/(P73+Ze)-AA73))</f>
        <v>2.26429118510951e-9</v>
      </c>
      <c r="AE73" s="39">
        <f ca="1">IF(((R73-AA73)/P73-((Wfc-Wwp)*Ze-Z73)/Ze)/Wfc*DiffE&lt;0,MAX(((R73-AA73)/P73-((Wfc-Wwp)*Ze-Z73)/Ze)/Wfc*DiffE,(R73*Ze-((Wfc-Wwp)*Ze-Z73-AA73)*P73)/(P73+Ze)-AA73),MIN(((R73-AA73)/P73-((Wfc-Wwp)*Ze-Z73)/Ze)/Wfc*DiffE,(R73*Ze-((Wfc-Wwp)*Ze-Z73-AA73)*P73)/(P73+Ze)-AA73))</f>
        <v>-2.52374881801937e-9</v>
      </c>
      <c r="AF73" s="39">
        <f ca="1">IF(((S73-AB73)/Q73-(R73-AA73)/P73)/Wfc*DiffR&lt;0,MAX(((S73-AB73)/Q73-(R73-AA73)/P73)/Wfc*DiffR,(S73*P73-(R73-AA73-AB73)*Q73)/(P73+Q73)-AB73),MIN(((S73-AB73)/Q73-(R73-AA73)/P73)/Wfc*DiffR,(S73*P73-(R73-AA73-AB73)*Q73)/(P73+Q73)-AB73))</f>
        <v>4.3777613528255e-9</v>
      </c>
      <c r="AG73" s="99">
        <f ca="1">MIN(MAX(Y73+IF(AU73&gt;0,B73*AZ73/AU73,0)+BE73-AD73,0),TEW)</f>
        <v>0.604778191998465</v>
      </c>
      <c r="AH73" s="99">
        <f ca="1">MIN(MAX(Z73+IF(AV73&gt;0,B73*BA73/AV73,0)+BF73-AE73,0),TEW)</f>
        <v>0.277390306240665</v>
      </c>
      <c r="AI73" s="99">
        <f ca="1" t="shared" si="1"/>
        <v>1.03108891663331</v>
      </c>
      <c r="AJ73" s="99">
        <f ca="1" t="shared" si="2"/>
        <v>1.37747113814743e-8</v>
      </c>
      <c r="AK73" s="70">
        <f ca="1">IF((AU73+AV73)&gt;0,(TEW-(AG73*AU73+AH73*AV73)/(AU73+AV73))/TEW,(TEW-(AG73+AH73)/2)/TEW)</f>
        <v>0.981742545147216</v>
      </c>
      <c r="AL73" s="70">
        <f ca="1" t="shared" si="3"/>
        <v>0.978287676328815</v>
      </c>
      <c r="AM73" s="70">
        <f ca="1" t="shared" si="4"/>
        <v>0.999999999573737</v>
      </c>
      <c r="AN73" s="70">
        <f ca="1">Wwp+(Wfc-Wwp)*IF((AU73+AV73)&gt;0,(TEW-(AG73*AU73+AH73*AV73)/(AU73+AV73))/TEW,(TEW-(AG73+AH73)/2)/TEW)</f>
        <v>0.397626530869138</v>
      </c>
      <c r="AO73" s="70">
        <f ca="1">Wwp+(Wfc-Wwp)*(R73-AI73)/R73</f>
        <v>0.397177397922746</v>
      </c>
      <c r="AP73" s="70">
        <f ca="1">Wwp+(Wfc-Wwp)*(S73-AJ73)/S73</f>
        <v>0.399999999944586</v>
      </c>
      <c r="AQ73" s="70"/>
      <c r="AR73" s="70"/>
      <c r="AS73" s="70"/>
      <c r="AT73" s="70"/>
      <c r="AU73" s="70">
        <f ca="1">MIN((1-G73),fw)</f>
        <v>0.489333333333333</v>
      </c>
      <c r="AV73" s="70">
        <f ca="1" t="shared" si="5"/>
        <v>0</v>
      </c>
      <c r="AW73" s="70">
        <f ca="1">MIN((TEW-Y73)/(TEW-REW),1)</f>
        <v>0.126002141901477</v>
      </c>
      <c r="AX73" s="70">
        <f ca="1">MIN((TEW-Z73)/(TEW-REW),1)</f>
        <v>0.126922010751623</v>
      </c>
      <c r="AY73" s="70">
        <f ca="1">IF((AU73*(TEW-Y73))&gt;0,1/(1+((AV73*(TEW-Z73))/(AU73*(TEW-Y73)))),0)</f>
        <v>1</v>
      </c>
      <c r="AZ73" s="70">
        <f ca="1">MIN((AY73*AW73*(Kcmax-H73)),AU73*Kcmax)</f>
        <v>0.0723665920703594</v>
      </c>
      <c r="BA73" s="70">
        <f ca="1">MIN(((1-AY73)*AX73*(Kcmax-H73)),AV73*Kcmax)</f>
        <v>0</v>
      </c>
      <c r="BB73" s="70">
        <f ca="1" t="shared" si="6"/>
        <v>0.0437094216104971</v>
      </c>
      <c r="BC73" s="70">
        <f ca="1">MIN((R73-AA73)/(R73*(1-(p+0.04*(5-I72)))),1)</f>
        <v>1</v>
      </c>
      <c r="BD73" s="10">
        <f ca="1" t="shared" si="7"/>
        <v>0.34770572541954</v>
      </c>
      <c r="BE73" s="70">
        <f ca="1">MIN(IF((1-AA73/R73)&gt;0,(1-Y73/TEW)/(1-AA73/R73)*(Ze/P73)^0.6,0),1)*BC73*H73*B73</f>
        <v>0.183351131556518</v>
      </c>
      <c r="BF73" s="70">
        <f ca="1">MIN(IF((1-AA73/R73)&gt;0,(1-Z73/TEW)/(1-AA73/R73)*(Ze/P73)^0.6,0),1)*BC73*H73*B73</f>
        <v>0.184689672251244</v>
      </c>
      <c r="BH73" s="10" t="str">
        <f ca="1" t="shared" si="8"/>
        <v/>
      </c>
      <c r="BI73" s="10" t="str">
        <f ca="1">IF(F73&lt;&gt;"",(Moy_Etobs-F73)^2,"")</f>
        <v/>
      </c>
    </row>
    <row r="74" spans="1:61">
      <c r="A74" s="38">
        <v>39067</v>
      </c>
      <c r="B74" s="10">
        <v>0.401</v>
      </c>
      <c r="C74" s="39">
        <v>0.198</v>
      </c>
      <c r="D74">
        <v>0.536</v>
      </c>
      <c r="E74" s="39">
        <v>0</v>
      </c>
      <c r="F74" s="10">
        <v>0.4440492</v>
      </c>
      <c r="G74" s="10">
        <f ca="1">MIN(MAX(IF(AND(Durpla&gt;ROW()-MATCH(NDVImax,INDEX(D:D,Lig_min,1):INDEX(D:D,Lig_max,1),0)-Lig_min+1,ROW()-MATCH(NDVImax,INDEX(D:D,Lig_min,1):INDEX(D:D,Lig_max,1),0)-Lig_min+1&gt;0,D74*a_fc+b_fc&gt;fc_fin),NDVImax*a_fc+b_fc,D74*a_fc+b_fc),0),1)</f>
        <v>0.514666666666667</v>
      </c>
      <c r="H74" s="55">
        <f>MIN(MAX(D74*a_kcb+b_kcb,0),Kcmax)</f>
        <v>0.580180908875307</v>
      </c>
      <c r="I74" s="70">
        <f ca="1" t="shared" si="0"/>
        <v>0.261378150400157</v>
      </c>
      <c r="O74" s="55"/>
      <c r="P74" s="35">
        <f ca="1">IF(ROW()-MATCH(NDVImax,INDEX(D:D,Lig_min,1):INDEX(D:D,Lig_max,1),0)-Lig_min+1&gt;0,MAX(MIN(Zr_min+MAX(INDEX(G:G,Lig_min,1):INDEX(G:G,Lig_max,1))/MAX(MAX(INDEX(G:G,Lig_min,1):INDEX(G:G,Lig_max,1)),Max_fc_pour_Zrmax)*(Zr_max-Zr_min),Zr_max),Ze+0.001),MAX(MIN(Zr_min+G74/MAX(MAX(INDEX(G:G,Lig_min,1):INDEX(G:G,Lig_max,1)),Max_fc_pour_Zrmax)*(Zr_max-Zr_min),Zr_max),Ze+0.001))</f>
        <v>367.179523867089</v>
      </c>
      <c r="Q74" s="35">
        <f ca="1">IF(Z_sol&gt;0,Z_sol-P74,0.1)</f>
        <v>246.695027197345</v>
      </c>
      <c r="R74" s="35">
        <f ca="1">(Wfc-Wwp)*P74</f>
        <v>47.7333381027216</v>
      </c>
      <c r="S74" s="35">
        <f ca="1">(Wfc-Wwp)*Q74</f>
        <v>32.0703535356548</v>
      </c>
      <c r="T74" s="99">
        <f ca="1" t="shared" si="9"/>
        <v>0.604778191998465</v>
      </c>
      <c r="U74" s="99">
        <f ca="1" t="shared" si="10"/>
        <v>0.277390306240665</v>
      </c>
      <c r="V74" s="99">
        <f ca="1">IF(P74&gt;P73,IF(Q74&gt;1,MAX(AI73+(Wfc-Wwp)*(P74-P73)*AJ73/S73,0),AI73/P73*P74),MAX(AI73+(Wfc-Wwp)*(P74-P73)*AI73/R73,0))</f>
        <v>1.03108891673761</v>
      </c>
      <c r="W74" s="99">
        <f ca="1">IF(S74&gt;1,IF(P74&gt;P73,MAX(AJ73-(Wfc-Wwp)*(P74-P73)*AJ73/S73,0),MAX(AJ73-(Wfc-Wwp)*(P74-P73)*AI73/R73,0)),0)</f>
        <v>1.36704094148174e-8</v>
      </c>
      <c r="X74" s="99">
        <f ca="1">IF(AND(OR(AND(dec_vide_TAW&lt;0,V74&gt;R74*(p+0.04*(5-I73))),AND(dec_vide_TAW&gt;0,V74&gt;R74*dec_vide_TAW)),H74&gt;MAX(INDEX(H:H,Lig_min,1):INDEX(H:H,ROW(X74),1))*Kcbmax_stop_irrig*IF(ROW(X74)-lig_kcbmax&gt;0,1,0),MIN(INDEX(H:H,ROW(X74),1):INDEX(H:H,lig_kcbmax,1))&gt;Kcbmin_start_irrig),MIN(MAX(V74-E74*Irri_man-C74,0),Lame_max),0)</f>
        <v>0</v>
      </c>
      <c r="Y74" s="99">
        <f ca="1">MIN(MAX(T74-C74-IF(fw&gt;0,X74/fw*Irri_auto+E74/fw*Irri_man,0),0),TEW)</f>
        <v>0.406778191998465</v>
      </c>
      <c r="Z74" s="99">
        <f ca="1">MIN(MAX(U74-C74,0),TEW)</f>
        <v>0.0793903062406651</v>
      </c>
      <c r="AA74" s="99">
        <f ca="1">MIN(MAX(V74-C74-(X74*Irri_auto+E74*Irri_man),0),R74)</f>
        <v>0.833088916737608</v>
      </c>
      <c r="AB74" s="99">
        <f ca="1">MIN(MAX(W74+MIN(V74-C74-(X74*Irri_auto+E74*Irri_man),0),0),S74)</f>
        <v>1.36704094148174e-8</v>
      </c>
      <c r="AC74" s="99">
        <f ca="1">-MIN(W74+MIN(V74-C74-(X74*Irri_auto+E74*Irri_man),0),0)</f>
        <v>0</v>
      </c>
      <c r="AD74" s="39">
        <f ca="1">IF(((R74-AA74)/P74-((Wfc-Wwp)*Ze-Y74)/Ze)/Wfc*DiffE&lt;0,MAX(((R74-AA74)/P74-((Wfc-Wwp)*Ze-Y74)/Ze)/Wfc*DiffE,(R74*Ze-((Wfc-Wwp)*Ze-Y74-AA74)*P74)/(P74+Ze)-AA74),MIN(((R74-AA74)/P74-((Wfc-Wwp)*Ze-Y74)/Ze)/Wfc*DiffE,(R74*Ze-((Wfc-Wwp)*Ze-Y74-AA74)*P74)/(P74+Ze)-AA74))</f>
        <v>2.46334587446557e-9</v>
      </c>
      <c r="AE74" s="39">
        <f ca="1">IF(((R74-AA74)/P74-((Wfc-Wwp)*Ze-Z74)/Ze)/Wfc*DiffE&lt;0,MAX(((R74-AA74)/P74-((Wfc-Wwp)*Ze-Z74)/Ze)/Wfc*DiffE,(R74*Ze-((Wfc-Wwp)*Ze-Z74-AA74)*P74)/(P74+Ze)-AA74),MIN(((R74-AA74)/P74-((Wfc-Wwp)*Ze-Z74)/Ze)/Wfc*DiffE,(R74*Ze-((Wfc-Wwp)*Ze-Z74-AA74)*P74)/(P74+Ze)-AA74))</f>
        <v>-4.0844118406904e-9</v>
      </c>
      <c r="AF74" s="39">
        <f ca="1">IF(((S74-AB74)/Q74-(R74-AA74)/P74)/Wfc*DiffR&lt;0,MAX(((S74-AB74)/Q74-(R74-AA74)/P74)/Wfc*DiffR,(S74*P74-(R74-AA74-AB74)*Q74)/(P74+Q74)-AB74),MIN(((S74-AB74)/Q74-(R74-AA74)/P74)/Wfc*DiffR,(S74*P74-(R74-AA74-AB74)*Q74)/(P74+Q74)-AB74))</f>
        <v>5.67221782696817e-9</v>
      </c>
      <c r="AG74" s="99">
        <f ca="1">MIN(MAX(Y74+IF(AU74&gt;0,B74*AZ74/AU74,0)+BE74-AD74,0),TEW)</f>
        <v>0.588485625227154</v>
      </c>
      <c r="AH74" s="99">
        <f ca="1">MIN(MAX(Z74+IF(AV74&gt;0,B74*BA74/AV74,0)+BF74-AE74,0),TEW)</f>
        <v>0.203136341911088</v>
      </c>
      <c r="AI74" s="99">
        <f ca="1" t="shared" si="1"/>
        <v>1.09446706146555</v>
      </c>
      <c r="AJ74" s="99">
        <f ca="1" t="shared" si="2"/>
        <v>1.93426272417856e-8</v>
      </c>
      <c r="AK74" s="70">
        <f ca="1">IF((AU74+AV74)&gt;0,(TEW-(AG74*AU74+AH74*AV74)/(AU74+AV74))/TEW,(TEW-(AG74+AH74)/2)/TEW)</f>
        <v>0.982234396219558</v>
      </c>
      <c r="AL74" s="70">
        <f ca="1" t="shared" si="3"/>
        <v>0.977071223070336</v>
      </c>
      <c r="AM74" s="70">
        <f ca="1" t="shared" si="4"/>
        <v>0.999999999396869</v>
      </c>
      <c r="AN74" s="70">
        <f ca="1">Wwp+(Wfc-Wwp)*IF((AU74+AV74)&gt;0,(TEW-(AG74*AU74+AH74*AV74)/(AU74+AV74))/TEW,(TEW-(AG74+AH74)/2)/TEW)</f>
        <v>0.397690471508543</v>
      </c>
      <c r="AO74" s="70">
        <f ca="1">Wwp+(Wfc-Wwp)*(R74-AI74)/R74</f>
        <v>0.397019258999144</v>
      </c>
      <c r="AP74" s="70">
        <f ca="1">Wwp+(Wfc-Wwp)*(S74-AJ74)/S74</f>
        <v>0.399999999921593</v>
      </c>
      <c r="AQ74" s="70"/>
      <c r="AR74" s="70"/>
      <c r="AS74" s="70"/>
      <c r="AT74" s="70"/>
      <c r="AU74" s="70">
        <f ca="1">MIN((1-G74),fw)</f>
        <v>0.485333333333333</v>
      </c>
      <c r="AV74" s="70">
        <f ca="1" t="shared" si="5"/>
        <v>0</v>
      </c>
      <c r="AW74" s="70">
        <f ca="1">MIN((TEW-Y74)/(TEW-REW),1)</f>
        <v>0.125715211458906</v>
      </c>
      <c r="AX74" s="70">
        <f ca="1">MIN((TEW-Z74)/(TEW-REW),1)</f>
        <v>0.126973153822908</v>
      </c>
      <c r="AY74" s="70">
        <f ca="1">IF((AU74*(TEW-Y74))&gt;0,1/(1+((AV74*(TEW-Z74))/(AU74*(TEW-Y74)))),0)</f>
        <v>1</v>
      </c>
      <c r="AZ74" s="70">
        <f ca="1">MIN((AY74*AW74*(Kcmax-H74)),AU74*Kcmax)</f>
        <v>0.0716349275340622</v>
      </c>
      <c r="BA74" s="70">
        <f ca="1">MIN(((1-AY74)*AX74*(Kcmax-H74)),AV74*Kcmax)</f>
        <v>0</v>
      </c>
      <c r="BB74" s="70">
        <f ca="1" t="shared" si="6"/>
        <v>0.0287256059411589</v>
      </c>
      <c r="BC74" s="70">
        <f ca="1">MIN((R74-AA74)/(R74*(1-(p+0.04*(5-I73)))),1)</f>
        <v>1</v>
      </c>
      <c r="BD74" s="10">
        <f ca="1" t="shared" si="7"/>
        <v>0.232652544458998</v>
      </c>
      <c r="BE74" s="70">
        <f ca="1">MIN(IF((1-AA74/R74)&gt;0,(1-Y74/TEW)/(1-AA74/R74)*(Ze/P74)^0.6,0),1)*BC74*H74*B74</f>
        <v>0.122520060813273</v>
      </c>
      <c r="BF74" s="70">
        <f ca="1">MIN(IF((1-AA74/R74)&gt;0,(1-Z74/TEW)/(1-AA74/R74)*(Ze/P74)^0.6,0),1)*BC74*H74*B74</f>
        <v>0.123746031586011</v>
      </c>
      <c r="BH74" s="10">
        <f ca="1" t="shared" si="8"/>
        <v>0.0333687123619083</v>
      </c>
      <c r="BI74" s="10">
        <f ca="1">IF(F74&lt;&gt;"",(Moy_Etobs-F74)^2,"")</f>
        <v>1.35681348936162</v>
      </c>
    </row>
    <row r="75" spans="1:61">
      <c r="A75" s="38">
        <v>39068</v>
      </c>
      <c r="B75" s="10">
        <v>0.402</v>
      </c>
      <c r="C75" s="39">
        <v>0.396</v>
      </c>
      <c r="D75">
        <v>0.539</v>
      </c>
      <c r="E75" s="39">
        <v>0</v>
      </c>
      <c r="F75" s="10">
        <v>0.2421342</v>
      </c>
      <c r="G75" s="10">
        <f ca="1">MIN(MAX(IF(AND(Durpla&gt;ROW()-MATCH(NDVImax,INDEX(D:D,Lig_min,1):INDEX(D:D,Lig_max,1),0)-Lig_min+1,ROW()-MATCH(NDVImax,INDEX(D:D,Lig_min,1):INDEX(D:D,Lig_max,1),0)-Lig_min+1&gt;0,D75*a_fc+b_fc&gt;fc_fin),NDVImax*a_fc+b_fc,D75*a_fc+b_fc),0),1)</f>
        <v>0.518666666666667</v>
      </c>
      <c r="H75" s="55">
        <f>MIN(MAX(D75*a_kcb+b_kcb,0),Kcmax)</f>
        <v>0.584690086923561</v>
      </c>
      <c r="I75" s="70">
        <f ca="1" t="shared" si="0"/>
        <v>0.263801892163467</v>
      </c>
      <c r="O75" s="55"/>
      <c r="P75" s="35">
        <f ca="1">IF(ROW()-MATCH(NDVImax,INDEX(D:D,Lig_min,1):INDEX(D:D,Lig_max,1),0)-Lig_min+1&gt;0,MAX(MIN(Zr_min+MAX(INDEX(G:G,Lig_min,1):INDEX(G:G,Lig_max,1))/MAX(MAX(INDEX(G:G,Lig_min,1):INDEX(G:G,Lig_max,1)),Max_fc_pour_Zrmax)*(Zr_max-Zr_min),Zr_max),Ze+0.001),MAX(MIN(Zr_min+G75/MAX(MAX(INDEX(G:G,Lig_min,1):INDEX(G:G,Lig_max,1)),Max_fc_pour_Zrmax)*(Zr_max-Zr_min),Zr_max),Ze+0.001))</f>
        <v>369.061748145849</v>
      </c>
      <c r="Q75" s="35">
        <f ca="1">IF(Z_sol&gt;0,Z_sol-P75,0.1)</f>
        <v>244.812802918585</v>
      </c>
      <c r="R75" s="35">
        <f ca="1">(Wfc-Wwp)*P75</f>
        <v>47.9780272589604</v>
      </c>
      <c r="S75" s="35">
        <f ca="1">(Wfc-Wwp)*Q75</f>
        <v>31.8256643794161</v>
      </c>
      <c r="T75" s="99">
        <f ca="1" t="shared" si="9"/>
        <v>0.588485625227154</v>
      </c>
      <c r="U75" s="99">
        <f ca="1" t="shared" si="10"/>
        <v>0.203136341911088</v>
      </c>
      <c r="V75" s="99">
        <f ca="1">IF(P75&gt;P74,IF(Q75&gt;1,MAX(AI74+(Wfc-Wwp)*(P75-P74)*AJ74/S74,0),AI74/P74*P75),MAX(AI74+(Wfc-Wwp)*(P75-P74)*AI74/R74,0))</f>
        <v>1.09446706161313</v>
      </c>
      <c r="W75" s="99">
        <f ca="1">IF(S75&gt;1,IF(P75&gt;P74,MAX(AJ74-(Wfc-Wwp)*(P75-P74)*AJ74/S74,0),MAX(AJ74-(Wfc-Wwp)*(P75-P74)*AI74/R74,0)),0)</f>
        <v>1.91950476045992e-8</v>
      </c>
      <c r="X75" s="99">
        <f ca="1">IF(AND(OR(AND(dec_vide_TAW&lt;0,V75&gt;R75*(p+0.04*(5-I74))),AND(dec_vide_TAW&gt;0,V75&gt;R75*dec_vide_TAW)),H75&gt;MAX(INDEX(H:H,Lig_min,1):INDEX(H:H,ROW(X75),1))*Kcbmax_stop_irrig*IF(ROW(X75)-lig_kcbmax&gt;0,1,0),MIN(INDEX(H:H,ROW(X75),1):INDEX(H:H,lig_kcbmax,1))&gt;Kcbmin_start_irrig),MIN(MAX(V75-E75*Irri_man-C75,0),Lame_max),0)</f>
        <v>0</v>
      </c>
      <c r="Y75" s="99">
        <f ca="1">MIN(MAX(T75-C75-IF(fw&gt;0,X75/fw*Irri_auto+E75/fw*Irri_man,0),0),TEW)</f>
        <v>0.192485625227154</v>
      </c>
      <c r="Z75" s="99">
        <f ca="1">MIN(MAX(U75-C75,0),TEW)</f>
        <v>0</v>
      </c>
      <c r="AA75" s="99">
        <f ca="1">MIN(MAX(V75-C75-(X75*Irri_auto+E75*Irri_man),0),R75)</f>
        <v>0.698467061613127</v>
      </c>
      <c r="AB75" s="99">
        <f ca="1">MIN(MAX(W75+MIN(V75-C75-(X75*Irri_auto+E75*Irri_man),0),0),S75)</f>
        <v>1.91950476045992e-8</v>
      </c>
      <c r="AC75" s="99">
        <f ca="1">-MIN(W75+MIN(V75-C75-(X75*Irri_auto+E75*Irri_man),0),0)</f>
        <v>0</v>
      </c>
      <c r="AD75" s="39">
        <f ca="1">IF(((R75-AA75)/P75-((Wfc-Wwp)*Ze-Y75)/Ze)/Wfc*DiffE&lt;0,MAX(((R75-AA75)/P75-((Wfc-Wwp)*Ze-Y75)/Ze)/Wfc*DiffE,(R75*Ze-((Wfc-Wwp)*Ze-Y75-AA75)*P75)/(P75+Ze)-AA75),MIN(((R75-AA75)/P75-((Wfc-Wwp)*Ze-Y75)/Ze)/Wfc*DiffE,(R75*Ze-((Wfc-Wwp)*Ze-Y75-AA75)*P75)/(P75+Ze)-AA75))</f>
        <v>-8.81657416088102e-10</v>
      </c>
      <c r="AE75" s="39">
        <f ca="1">IF(((R75-AA75)/P75-((Wfc-Wwp)*Ze-Z75)/Ze)/Wfc*DiffE&lt;0,MAX(((R75-AA75)/P75-((Wfc-Wwp)*Ze-Z75)/Ze)/Wfc*DiffE,(R75*Ze-((Wfc-Wwp)*Ze-Z75-AA75)*P75)/(P75+Ze)-AA75),MIN(((R75-AA75)/P75-((Wfc-Wwp)*Ze-Z75)/Ze)/Wfc*DiffE,(R75*Ze-((Wfc-Wwp)*Ze-Z75-AA75)*P75)/(P75+Ze)-AA75))</f>
        <v>-4.73136992063118e-9</v>
      </c>
      <c r="AF75" s="39">
        <f ca="1">IF(((S75-AB75)/Q75-(R75-AA75)/P75)/Wfc*DiffR&lt;0,MAX(((S75-AB75)/Q75-(R75-AA75)/P75)/Wfc*DiffR,(S75*P75-(R75-AA75-AB75)*Q75)/(P75+Q75)-AB75),MIN(((S75-AB75)/Q75-(R75-AA75)/P75)/Wfc*DiffR,(S75*P75-(R75-AA75-AB75)*Q75)/(P75+Q75)-AB75))</f>
        <v>4.73136972461353e-9</v>
      </c>
      <c r="AG75" s="99">
        <f ca="1">MIN(MAX(Y75+IF(AU75&gt;0,B75*AZ75/AU75,0)+BE75-AD75,0),TEW)</f>
        <v>0.376073388254851</v>
      </c>
      <c r="AH75" s="99">
        <f ca="1">MIN(MAX(Z75+IF(AV75&gt;0,B75*BA75/AV75,0)+BF75-AE75,0),TEW)</f>
        <v>0.124568245094783</v>
      </c>
      <c r="AI75" s="99">
        <f ca="1" t="shared" si="1"/>
        <v>0.962268949045224</v>
      </c>
      <c r="AJ75" s="99">
        <f ca="1" t="shared" si="2"/>
        <v>2.39264173292127e-8</v>
      </c>
      <c r="AK75" s="70">
        <f ca="1">IF((AU75+AV75)&gt;0,(TEW-(AG75*AU75+AH75*AV75)/(AU75+AV75))/TEW,(TEW-(AG75+AH75)/2)/TEW)</f>
        <v>0.988646841109287</v>
      </c>
      <c r="AL75" s="70">
        <f ca="1" t="shared" si="3"/>
        <v>0.979943549078177</v>
      </c>
      <c r="AM75" s="70">
        <f ca="1" t="shared" si="4"/>
        <v>0.999999999248204</v>
      </c>
      <c r="AN75" s="70">
        <f ca="1">Wwp+(Wfc-Wwp)*IF((AU75+AV75)&gt;0,(TEW-(AG75*AU75+AH75*AV75)/(AU75+AV75))/TEW,(TEW-(AG75+AH75)/2)/TEW)</f>
        <v>0.398524089344207</v>
      </c>
      <c r="AO75" s="70">
        <f ca="1">Wwp+(Wfc-Wwp)*(R75-AI75)/R75</f>
        <v>0.397392661380163</v>
      </c>
      <c r="AP75" s="70">
        <f ca="1">Wwp+(Wfc-Wwp)*(S75-AJ75)/S75</f>
        <v>0.399999999902266</v>
      </c>
      <c r="AQ75" s="70"/>
      <c r="AR75" s="70"/>
      <c r="AS75" s="70"/>
      <c r="AT75" s="70"/>
      <c r="AU75" s="70">
        <f ca="1">MIN((1-G75),fw)</f>
        <v>0.481333333333333</v>
      </c>
      <c r="AV75" s="70">
        <f ca="1" t="shared" si="5"/>
        <v>0</v>
      </c>
      <c r="AW75" s="70">
        <f ca="1">MIN((TEW-Y75)/(TEW-REW),1)</f>
        <v>0.126538600807624</v>
      </c>
      <c r="AX75" s="70">
        <f ca="1">MIN((TEW-Z75)/(TEW-REW),1)</f>
        <v>0.12727820001996</v>
      </c>
      <c r="AY75" s="70">
        <f ca="1">IF((AU75*(TEW-Y75))&gt;0,1/(1+((AV75*(TEW-Z75))/(AU75*(TEW-Y75)))),0)</f>
        <v>1</v>
      </c>
      <c r="AZ75" s="70">
        <f ca="1">MIN((AY75*AW75*(Kcmax-H75)),AU75*Kcmax)</f>
        <v>0.0715335254233724</v>
      </c>
      <c r="BA75" s="70">
        <f ca="1">MIN(((1-AY75)*AX75*(Kcmax-H75)),AV75*Kcmax)</f>
        <v>0</v>
      </c>
      <c r="BB75" s="70">
        <f ca="1" t="shared" si="6"/>
        <v>0.0287564772201957</v>
      </c>
      <c r="BC75" s="70">
        <f ca="1">MIN((R75-AA75)/(R75*(1-(p+0.04*(5-I74)))),1)</f>
        <v>1</v>
      </c>
      <c r="BD75" s="10">
        <f ca="1" t="shared" si="7"/>
        <v>0.235045414943271</v>
      </c>
      <c r="BE75" s="70">
        <f ca="1">MIN(IF((1-AA75/R75)&gt;0,(1-Y75/TEW)/(1-AA75/R75)*(Ze/P75)^0.6,0),1)*BC75*H75*B75</f>
        <v>0.123844388419872</v>
      </c>
      <c r="BF75" s="70">
        <f ca="1">MIN(IF((1-AA75/R75)&gt;0,(1-Z75/TEW)/(1-AA75/R75)*(Ze/P75)^0.6,0),1)*BC75*H75*B75</f>
        <v>0.124568240363413</v>
      </c>
      <c r="BH75" s="10">
        <f ca="1" t="shared" si="8"/>
        <v>0.000469488883690772</v>
      </c>
      <c r="BI75" s="10">
        <f ca="1">IF(F75&lt;&gt;"",(Moy_Etobs-F75)^2,"")</f>
        <v>1.86797377914478</v>
      </c>
    </row>
    <row r="76" spans="1:61">
      <c r="A76" s="38">
        <v>39069</v>
      </c>
      <c r="B76" s="10">
        <v>0.295</v>
      </c>
      <c r="C76" s="39">
        <v>0.792</v>
      </c>
      <c r="D76">
        <v>0.543</v>
      </c>
      <c r="E76" s="39">
        <v>0</v>
      </c>
      <c r="F76" s="10">
        <v>0.3717702</v>
      </c>
      <c r="G76" s="10">
        <f ca="1">MIN(MAX(IF(AND(Durpla&gt;ROW()-MATCH(NDVImax,INDEX(D:D,Lig_min,1):INDEX(D:D,Lig_max,1),0)-Lig_min+1,ROW()-MATCH(NDVImax,INDEX(D:D,Lig_min,1):INDEX(D:D,Lig_max,1),0)-Lig_min+1&gt;0,D76*a_fc+b_fc&gt;fc_fin),NDVImax*a_fc+b_fc,D76*a_fc+b_fc),0),1)</f>
        <v>0.524</v>
      </c>
      <c r="H76" s="55">
        <f>MIN(MAX(D76*a_kcb+b_kcb,0),Kcmax)</f>
        <v>0.590702324321232</v>
      </c>
      <c r="I76" s="70">
        <f ca="1" t="shared" si="0"/>
        <v>0.195257174098307</v>
      </c>
      <c r="O76" s="55"/>
      <c r="P76" s="35">
        <f ca="1">IF(ROW()-MATCH(NDVImax,INDEX(D:D,Lig_min,1):INDEX(D:D,Lig_max,1),0)-Lig_min+1&gt;0,MAX(MIN(Zr_min+MAX(INDEX(G:G,Lig_min,1):INDEX(G:G,Lig_max,1))/MAX(MAX(INDEX(G:G,Lig_min,1):INDEX(G:G,Lig_max,1)),Max_fc_pour_Zrmax)*(Zr_max-Zr_min),Zr_max),Ze+0.001),MAX(MIN(Zr_min+G76/MAX(MAX(INDEX(G:G,Lig_min,1):INDEX(G:G,Lig_max,1)),Max_fc_pour_Zrmax)*(Zr_max-Zr_min),Zr_max),Ze+0.001))</f>
        <v>371.571380517529</v>
      </c>
      <c r="Q76" s="35">
        <f ca="1">IF(Z_sol&gt;0,Z_sol-P76,0.1)</f>
        <v>242.303170546905</v>
      </c>
      <c r="R76" s="35">
        <f ca="1">(Wfc-Wwp)*P76</f>
        <v>48.3042794672787</v>
      </c>
      <c r="S76" s="35">
        <f ca="1">(Wfc-Wwp)*Q76</f>
        <v>31.4994121710977</v>
      </c>
      <c r="T76" s="99">
        <f ca="1" t="shared" si="9"/>
        <v>0.376073388254851</v>
      </c>
      <c r="U76" s="99">
        <f ca="1" t="shared" si="10"/>
        <v>0.124568245094783</v>
      </c>
      <c r="V76" s="99">
        <f ca="1">IF(P76&gt;P75,IF(Q76&gt;1,MAX(AI75+(Wfc-Wwp)*(P76-P75)*AJ75/S75,0),AI75/P75*P76),MAX(AI75+(Wfc-Wwp)*(P76-P75)*AI75/R75,0))</f>
        <v>0.962268949290499</v>
      </c>
      <c r="W76" s="99">
        <f ca="1">IF(S76&gt;1,IF(P76&gt;P75,MAX(AJ75-(Wfc-Wwp)*(P76-P75)*AJ75/S75,0),MAX(AJ75-(Wfc-Wwp)*(P76-P75)*AI75/R75,0)),0)</f>
        <v>2.36811421199432e-8</v>
      </c>
      <c r="X76" s="99">
        <f ca="1">IF(AND(OR(AND(dec_vide_TAW&lt;0,V76&gt;R76*(p+0.04*(5-I75))),AND(dec_vide_TAW&gt;0,V76&gt;R76*dec_vide_TAW)),H76&gt;MAX(INDEX(H:H,Lig_min,1):INDEX(H:H,ROW(X76),1))*Kcbmax_stop_irrig*IF(ROW(X76)-lig_kcbmax&gt;0,1,0),MIN(INDEX(H:H,ROW(X76),1):INDEX(H:H,lig_kcbmax,1))&gt;Kcbmin_start_irrig),MIN(MAX(V76-E76*Irri_man-C76,0),Lame_max),0)</f>
        <v>0</v>
      </c>
      <c r="Y76" s="99">
        <f ca="1">MIN(MAX(T76-C76-IF(fw&gt;0,X76/fw*Irri_auto+E76/fw*Irri_man,0),0),TEW)</f>
        <v>0</v>
      </c>
      <c r="Z76" s="99">
        <f ca="1">MIN(MAX(U76-C76,0),TEW)</f>
        <v>0</v>
      </c>
      <c r="AA76" s="99">
        <f ca="1">MIN(MAX(V76-C76-(X76*Irri_auto+E76*Irri_man),0),R76)</f>
        <v>0.170268949290499</v>
      </c>
      <c r="AB76" s="99">
        <f ca="1">MIN(MAX(W76+MIN(V76-C76-(X76*Irri_auto+E76*Irri_man),0),0),S76)</f>
        <v>2.36811421199432e-8</v>
      </c>
      <c r="AC76" s="99">
        <f ca="1">-MIN(W76+MIN(V76-C76-(X76*Irri_auto+E76*Irri_man),0),0)</f>
        <v>0</v>
      </c>
      <c r="AD76" s="39">
        <f ca="1">IF(((R76-AA76)/P76-((Wfc-Wwp)*Ze-Y76)/Ze)/Wfc*DiffE&lt;0,MAX(((R76-AA76)/P76-((Wfc-Wwp)*Ze-Y76)/Ze)/Wfc*DiffE,(R76*Ze-((Wfc-Wwp)*Ze-Y76-AA76)*P76)/(P76+Ze)-AA76),MIN(((R76-AA76)/P76-((Wfc-Wwp)*Ze-Y76)/Ze)/Wfc*DiffE,(R76*Ze-((Wfc-Wwp)*Ze-Y76-AA76)*P76)/(P76+Ze)-AA76))</f>
        <v>-1.14560053746167e-9</v>
      </c>
      <c r="AE76" s="39">
        <f ca="1">IF(((R76-AA76)/P76-((Wfc-Wwp)*Ze-Z76)/Ze)/Wfc*DiffE&lt;0,MAX(((R76-AA76)/P76-((Wfc-Wwp)*Ze-Z76)/Ze)/Wfc*DiffE,(R76*Ze-((Wfc-Wwp)*Ze-Z76-AA76)*P76)/(P76+Ze)-AA76),MIN(((R76-AA76)/P76-((Wfc-Wwp)*Ze-Z76)/Ze)/Wfc*DiffE,(R76*Ze-((Wfc-Wwp)*Ze-Z76-AA76)*P76)/(P76+Ze)-AA76))</f>
        <v>-1.14560053746167e-9</v>
      </c>
      <c r="AF76" s="39">
        <f ca="1">IF(((S76-AB76)/Q76-(R76-AA76)/P76)/Wfc*DiffR&lt;0,MAX(((S76-AB76)/Q76-(R76-AA76)/P76)/Wfc*DiffR,(S76*P76-(R76-AA76-AB76)*Q76)/(P76+Q76)-AB76),MIN(((S76-AB76)/Q76-(R76-AA76)/P76)/Wfc*DiffR,(S76*P76-(R76-AA76-AB76)*Q76)/(P76+Q76)-AB76))</f>
        <v>1.14560029312788e-9</v>
      </c>
      <c r="AG76" s="99">
        <f ca="1">MIN(MAX(Y76+IF(AU76&gt;0,B76*AZ76/AU76,0)+BE76-AD76,0),TEW)</f>
        <v>0.135076463163414</v>
      </c>
      <c r="AH76" s="99">
        <f ca="1">MIN(MAX(Z76+IF(AV76&gt;0,B76*BA76/AV76,0)+BF76-AE76,0),TEW)</f>
        <v>0.0909588404248773</v>
      </c>
      <c r="AI76" s="99">
        <f ca="1" t="shared" si="1"/>
        <v>0.365526122243206</v>
      </c>
      <c r="AJ76" s="99">
        <f ca="1" t="shared" si="2"/>
        <v>2.48267424130711e-8</v>
      </c>
      <c r="AK76" s="70">
        <f ca="1">IF((AU76+AV76)&gt;0,(TEW-(AG76*AU76+AH76*AV76)/(AU76+AV76))/TEW,(TEW-(AG76+AH76)/2)/TEW)</f>
        <v>0.995922219979972</v>
      </c>
      <c r="AL76" s="70">
        <f ca="1" t="shared" si="3"/>
        <v>0.992432841846015</v>
      </c>
      <c r="AM76" s="70">
        <f ca="1" t="shared" si="4"/>
        <v>0.999999999211835</v>
      </c>
      <c r="AN76" s="70">
        <f ca="1">Wwp+(Wfc-Wwp)*IF((AU76+AV76)&gt;0,(TEW-(AG76*AU76+AH76*AV76)/(AU76+AV76))/TEW,(TEW-(AG76+AH76)/2)/TEW)</f>
        <v>0.399469888597396</v>
      </c>
      <c r="AO76" s="70">
        <f ca="1">Wwp+(Wfc-Wwp)*(R76-AI76)/R76</f>
        <v>0.399016269439982</v>
      </c>
      <c r="AP76" s="70">
        <f ca="1">Wwp+(Wfc-Wwp)*(S76-AJ76)/S76</f>
        <v>0.399999999897539</v>
      </c>
      <c r="AQ76" s="70"/>
      <c r="AR76" s="70"/>
      <c r="AS76" s="70"/>
      <c r="AT76" s="70"/>
      <c r="AU76" s="70">
        <f ca="1">MIN((1-G76),fw)</f>
        <v>0.476</v>
      </c>
      <c r="AV76" s="70">
        <f ca="1" t="shared" si="5"/>
        <v>0</v>
      </c>
      <c r="AW76" s="70">
        <f ca="1">MIN((TEW-Y76)/(TEW-REW),1)</f>
        <v>0.12727820001996</v>
      </c>
      <c r="AX76" s="70">
        <f ca="1">MIN((TEW-Z76)/(TEW-REW),1)</f>
        <v>0.12727820001996</v>
      </c>
      <c r="AY76" s="70">
        <f ca="1">IF((AU76*(TEW-Y76))&gt;0,1/(1+((AV76*(TEW-Z76))/(AU76*(TEW-Y76)))),0)</f>
        <v>1</v>
      </c>
      <c r="AZ76" s="70">
        <f ca="1">MIN((AY76*AW76*(Kcmax-H76)),AU76*Kcmax)</f>
        <v>0.0711864014357411</v>
      </c>
      <c r="BA76" s="70">
        <f ca="1">MIN(((1-AY76)*AX76*(Kcmax-H76)),AV76*Kcmax)</f>
        <v>0</v>
      </c>
      <c r="BB76" s="70">
        <f ca="1" t="shared" si="6"/>
        <v>0.0209999884235436</v>
      </c>
      <c r="BC76" s="70">
        <f ca="1">MIN((R76-AA76)/(R76*(1-(p+0.04*(5-I75)))),1)</f>
        <v>1</v>
      </c>
      <c r="BD76" s="10">
        <f ca="1" t="shared" si="7"/>
        <v>0.174257185674763</v>
      </c>
      <c r="BE76" s="70">
        <f ca="1">MIN(IF((1-AA76/R76)&gt;0,(1-Y76/TEW)/(1-AA76/R76)*(Ze/P76)^0.6,0),1)*BC76*H76*B76</f>
        <v>0.0909588392792768</v>
      </c>
      <c r="BF76" s="70">
        <f ca="1">MIN(IF((1-AA76/R76)&gt;0,(1-Z76/TEW)/(1-AA76/R76)*(Ze/P76)^0.6,0),1)*BC76*H76*B76</f>
        <v>0.0909588392792768</v>
      </c>
      <c r="BH76" s="10">
        <f ca="1" t="shared" si="8"/>
        <v>0.0311568483129717</v>
      </c>
      <c r="BI76" s="10">
        <f ca="1">IF(F76&lt;&gt;"",(Moy_Etobs-F76)^2,"")</f>
        <v>1.53042228029933</v>
      </c>
    </row>
    <row r="77" spans="1:61">
      <c r="A77" s="38">
        <v>39070</v>
      </c>
      <c r="B77" s="10">
        <v>0.33</v>
      </c>
      <c r="C77" s="39">
        <v>0</v>
      </c>
      <c r="D77">
        <v>0.546</v>
      </c>
      <c r="E77" s="39">
        <v>0</v>
      </c>
      <c r="F77" s="10">
        <v>0.5681628</v>
      </c>
      <c r="G77" s="10">
        <f ca="1">MIN(MAX(IF(AND(Durpla&gt;ROW()-MATCH(NDVImax,INDEX(D:D,Lig_min,1):INDEX(D:D,Lig_max,1),0)-Lig_min+1,ROW()-MATCH(NDVImax,INDEX(D:D,Lig_min,1):INDEX(D:D,Lig_max,1),0)-Lig_min+1&gt;0,D77*a_fc+b_fc&gt;fc_fin),NDVImax*a_fc+b_fc,D77*a_fc+b_fc),0),1)</f>
        <v>0.528</v>
      </c>
      <c r="H77" s="55">
        <f>MIN(MAX(D77*a_kcb+b_kcb,0),Kcmax)</f>
        <v>0.595211502369486</v>
      </c>
      <c r="I77" s="70">
        <f ca="1" t="shared" si="0"/>
        <v>0.219626893719413</v>
      </c>
      <c r="O77" s="55"/>
      <c r="P77" s="35">
        <f ca="1">IF(ROW()-MATCH(NDVImax,INDEX(D:D,Lig_min,1):INDEX(D:D,Lig_max,1),0)-Lig_min+1&gt;0,MAX(MIN(Zr_min+MAX(INDEX(G:G,Lig_min,1):INDEX(G:G,Lig_max,1))/MAX(MAX(INDEX(G:G,Lig_min,1):INDEX(G:G,Lig_max,1)),Max_fc_pour_Zrmax)*(Zr_max-Zr_min),Zr_max),Ze+0.001),MAX(MIN(Zr_min+G77/MAX(MAX(INDEX(G:G,Lig_min,1):INDEX(G:G,Lig_max,1)),Max_fc_pour_Zrmax)*(Zr_max-Zr_min),Zr_max),Ze+0.001))</f>
        <v>373.453604796288</v>
      </c>
      <c r="Q77" s="35">
        <f ca="1">IF(Z_sol&gt;0,Z_sol-P77,0.1)</f>
        <v>240.420946268146</v>
      </c>
      <c r="R77" s="35">
        <f ca="1">(Wfc-Wwp)*P77</f>
        <v>48.5489686235175</v>
      </c>
      <c r="S77" s="35">
        <f ca="1">(Wfc-Wwp)*Q77</f>
        <v>31.2547230148589</v>
      </c>
      <c r="T77" s="99">
        <f ca="1" t="shared" si="9"/>
        <v>0.135076463163414</v>
      </c>
      <c r="U77" s="99">
        <f ca="1" t="shared" si="10"/>
        <v>0.0909588404248773</v>
      </c>
      <c r="V77" s="99">
        <f ca="1">IF(P77&gt;P76,IF(Q77&gt;1,MAX(AI76+(Wfc-Wwp)*(P77-P76)*AJ76/S76,0),AI76/P76*P77),MAX(AI76+(Wfc-Wwp)*(P77-P76)*AI76/R76,0))</f>
        <v>0.365526122436062</v>
      </c>
      <c r="W77" s="99">
        <f ca="1">IF(S77&gt;1,IF(P77&gt;P76,MAX(AJ76-(Wfc-Wwp)*(P77-P76)*AJ76/S76,0),MAX(AJ76-(Wfc-Wwp)*(P77-P76)*AI76/R76,0)),0)</f>
        <v>2.46338869203966e-8</v>
      </c>
      <c r="X77" s="99">
        <f ca="1">IF(AND(OR(AND(dec_vide_TAW&lt;0,V77&gt;R77*(p+0.04*(5-I76))),AND(dec_vide_TAW&gt;0,V77&gt;R77*dec_vide_TAW)),H77&gt;MAX(INDEX(H:H,Lig_min,1):INDEX(H:H,ROW(X77),1))*Kcbmax_stop_irrig*IF(ROW(X77)-lig_kcbmax&gt;0,1,0),MIN(INDEX(H:H,ROW(X77),1):INDEX(H:H,lig_kcbmax,1))&gt;Kcbmin_start_irrig),MIN(MAX(V77-E77*Irri_man-C77,0),Lame_max),0)</f>
        <v>0</v>
      </c>
      <c r="Y77" s="99">
        <f ca="1">MIN(MAX(T77-C77-IF(fw&gt;0,X77/fw*Irri_auto+E77/fw*Irri_man,0),0),TEW)</f>
        <v>0.135076463163414</v>
      </c>
      <c r="Z77" s="99">
        <f ca="1">MIN(MAX(U77-C77,0),TEW)</f>
        <v>0.0909588404248773</v>
      </c>
      <c r="AA77" s="99">
        <f ca="1">MIN(MAX(V77-C77-(X77*Irri_auto+E77*Irri_man),0),R77)</f>
        <v>0.365526122436062</v>
      </c>
      <c r="AB77" s="99">
        <f ca="1">MIN(MAX(W77+MIN(V77-C77-(X77*Irri_auto+E77*Irri_man),0),0),S77)</f>
        <v>2.46338869203966e-8</v>
      </c>
      <c r="AC77" s="99">
        <f ca="1">-MIN(W77+MIN(V77-C77-(X77*Irri_auto+E77*Irri_man),0),0)</f>
        <v>0</v>
      </c>
      <c r="AD77" s="39">
        <f ca="1">IF(((R77-AA77)/P77-((Wfc-Wwp)*Ze-Y77)/Ze)/Wfc*DiffE&lt;0,MAX(((R77-AA77)/P77-((Wfc-Wwp)*Ze-Y77)/Ze)/Wfc*DiffE,(R77*Ze-((Wfc-Wwp)*Ze-Y77-AA77)*P77)/(P77+Ze)-AA77),MIN(((R77-AA77)/P77-((Wfc-Wwp)*Ze-Y77)/Ze)/Wfc*DiffE,(R77*Ze-((Wfc-Wwp)*Ze-Y77-AA77)*P77)/(P77+Ze)-AA77))</f>
        <v>2.54597986253033e-10</v>
      </c>
      <c r="AE77" s="39">
        <f ca="1">IF(((R77-AA77)/P77-((Wfc-Wwp)*Ze-Z77)/Ze)/Wfc*DiffE&lt;0,MAX(((R77-AA77)/P77-((Wfc-Wwp)*Ze-Z77)/Ze)/Wfc*DiffE,(R77*Ze-((Wfc-Wwp)*Ze-Z77-AA77)*P77)/(P77+Ze)-AA77),MIN(((R77-AA77)/P77-((Wfc-Wwp)*Ze-Z77)/Ze)/Wfc*DiffE,(R77*Ze-((Wfc-Wwp)*Ze-Z77-AA77)*P77)/(P77+Ze)-AA77))</f>
        <v>-6.27754468517719e-10</v>
      </c>
      <c r="AF77" s="39">
        <f ca="1">IF(((S77-AB77)/Q77-(R77-AA77)/P77)/Wfc*DiffR&lt;0,MAX(((S77-AB77)/Q77-(R77-AA77)/P77)/Wfc*DiffR,(S77*P77-(R77-AA77-AB77)*Q77)/(P77+Q77)-AB77),MIN(((S77-AB77)/Q77-(R77-AA77)/P77)/Wfc*DiffR,(S77*P77-(R77-AA77-AB77)*Q77)/(P77+Q77)-AB77))</f>
        <v>2.44693102086156e-9</v>
      </c>
      <c r="AG77" s="99">
        <f ca="1">MIN(MAX(Y77+IF(AU77&gt;0,B77*AZ77/AU77,0)+BE77-AD77,0),TEW)</f>
        <v>0.286454863729544</v>
      </c>
      <c r="AH77" s="99">
        <f ca="1">MIN(MAX(Z77+IF(AV77&gt;0,B77*BA77/AV77,0)+BF77-AE77,0),TEW)</f>
        <v>0.193306348640947</v>
      </c>
      <c r="AI77" s="99">
        <f ca="1" t="shared" si="1"/>
        <v>0.585153013708544</v>
      </c>
      <c r="AJ77" s="99">
        <f ca="1" t="shared" si="2"/>
        <v>2.70808179412582e-8</v>
      </c>
      <c r="AK77" s="70">
        <f ca="1">IF((AU77+AV77)&gt;0,(TEW-(AG77*AU77+AH77*AV77)/(AU77+AV77))/TEW,(TEW-(AG77+AH77)/2)/TEW)</f>
        <v>0.991352306000618</v>
      </c>
      <c r="AL77" s="70">
        <f ca="1" t="shared" si="3"/>
        <v>0.987947158708021</v>
      </c>
      <c r="AM77" s="70">
        <f ca="1" t="shared" si="4"/>
        <v>0.999999999133545</v>
      </c>
      <c r="AN77" s="70">
        <f ca="1">Wwp+(Wfc-Wwp)*IF((AU77+AV77)&gt;0,(TEW-(AG77*AU77+AH77*AV77)/(AU77+AV77))/TEW,(TEW-(AG77+AH77)/2)/TEW)</f>
        <v>0.39887579978008</v>
      </c>
      <c r="AO77" s="70">
        <f ca="1">Wwp+(Wfc-Wwp)*(R77-AI77)/R77</f>
        <v>0.398433130632043</v>
      </c>
      <c r="AP77" s="70">
        <f ca="1">Wwp+(Wfc-Wwp)*(S77-AJ77)/S77</f>
        <v>0.399999999887361</v>
      </c>
      <c r="AQ77" s="70"/>
      <c r="AR77" s="70"/>
      <c r="AS77" s="70"/>
      <c r="AT77" s="70"/>
      <c r="AU77" s="70">
        <f ca="1">MIN((1-G77),fw)</f>
        <v>0.472</v>
      </c>
      <c r="AV77" s="70">
        <f ca="1" t="shared" si="5"/>
        <v>0</v>
      </c>
      <c r="AW77" s="70">
        <f ca="1">MIN((TEW-Y77)/(TEW-REW),1)</f>
        <v>0.126759187518934</v>
      </c>
      <c r="AX77" s="70">
        <f ca="1">MIN((TEW-Z77)/(TEW-REW),1)</f>
        <v>0.126928703341162</v>
      </c>
      <c r="AY77" s="70">
        <f ca="1">IF((AU77*(TEW-Y77))&gt;0,1/(1+((AV77*(TEW-Z77))/(AU77*(TEW-Y77)))),0)</f>
        <v>1</v>
      </c>
      <c r="AZ77" s="70">
        <f ca="1">MIN((AY77*AW77*(Kcmax-H77)),AU77*Kcmax)</f>
        <v>0.0703245392044939</v>
      </c>
      <c r="BA77" s="70">
        <f ca="1">MIN(((1-AY77)*AX77*(Kcmax-H77)),AV77*Kcmax)</f>
        <v>0</v>
      </c>
      <c r="BB77" s="70">
        <f ca="1" t="shared" si="6"/>
        <v>0.023207097937483</v>
      </c>
      <c r="BC77" s="70">
        <f ca="1">MIN((R77-AA77)/(R77*(1-(p+0.04*(5-I76)))),1)</f>
        <v>1</v>
      </c>
      <c r="BD77" s="10">
        <f ca="1" t="shared" si="7"/>
        <v>0.19641979578193</v>
      </c>
      <c r="BE77" s="70">
        <f ca="1">MIN(IF((1-AA77/R77)&gt;0,(1-Y77/TEW)/(1-AA77/R77)*(Ze/P77)^0.6,0),1)*BC77*H77*B77</f>
        <v>0.102210820444704</v>
      </c>
      <c r="BF77" s="70">
        <f ca="1">MIN(IF((1-AA77/R77)&gt;0,(1-Z77/TEW)/(1-AA77/R77)*(Ze/P77)^0.6,0),1)*BC77*H77*B77</f>
        <v>0.102347507588315</v>
      </c>
      <c r="BH77" s="10">
        <f ca="1" t="shared" si="8"/>
        <v>0.12147727796683</v>
      </c>
      <c r="BI77" s="10">
        <f ca="1">IF(F77&lt;&gt;"",(Moy_Etobs-F77)^2,"")</f>
        <v>1.08307683079085</v>
      </c>
    </row>
    <row r="78" spans="1:61">
      <c r="A78" s="38">
        <v>39071</v>
      </c>
      <c r="B78" s="10">
        <v>0.154</v>
      </c>
      <c r="C78" s="39">
        <v>0.198</v>
      </c>
      <c r="D78">
        <v>0.549</v>
      </c>
      <c r="E78" s="39">
        <v>0</v>
      </c>
      <c r="F78" s="10">
        <v>0.3918456</v>
      </c>
      <c r="G78" s="10">
        <f ca="1">MIN(MAX(IF(AND(Durpla&gt;ROW()-MATCH(NDVImax,INDEX(D:D,Lig_min,1):INDEX(D:D,Lig_max,1),0)-Lig_min+1,ROW()-MATCH(NDVImax,INDEX(D:D,Lig_min,1):INDEX(D:D,Lig_max,1),0)-Lig_min+1&gt;0,D78*a_fc+b_fc&gt;fc_fin),NDVImax*a_fc+b_fc,D78*a_fc+b_fc),0),1)</f>
        <v>0.532</v>
      </c>
      <c r="H78" s="55">
        <f>MIN(MAX(D78*a_kcb+b_kcb,0),Kcmax)</f>
        <v>0.59972068041774</v>
      </c>
      <c r="I78" s="70">
        <f ca="1" t="shared" si="0"/>
        <v>0.103114121150832</v>
      </c>
      <c r="O78" s="55"/>
      <c r="P78" s="35">
        <f ca="1">IF(ROW()-MATCH(NDVImax,INDEX(D:D,Lig_min,1):INDEX(D:D,Lig_max,1),0)-Lig_min+1&gt;0,MAX(MIN(Zr_min+MAX(INDEX(G:G,Lig_min,1):INDEX(G:G,Lig_max,1))/MAX(MAX(INDEX(G:G,Lig_min,1):INDEX(G:G,Lig_max,1)),Max_fc_pour_Zrmax)*(Zr_max-Zr_min),Zr_max),Ze+0.001),MAX(MIN(Zr_min+G78/MAX(MAX(INDEX(G:G,Lig_min,1):INDEX(G:G,Lig_max,1)),Max_fc_pour_Zrmax)*(Zr_max-Zr_min),Zr_max),Ze+0.001))</f>
        <v>375.335829075048</v>
      </c>
      <c r="Q78" s="35">
        <f ca="1">IF(Z_sol&gt;0,Z_sol-P78,0.1)</f>
        <v>238.538721989386</v>
      </c>
      <c r="R78" s="35">
        <f ca="1">(Wfc-Wwp)*P78</f>
        <v>48.7936577797563</v>
      </c>
      <c r="S78" s="35">
        <f ca="1">(Wfc-Wwp)*Q78</f>
        <v>31.0100338586202</v>
      </c>
      <c r="T78" s="99">
        <f ca="1" t="shared" si="9"/>
        <v>0.286454863729544</v>
      </c>
      <c r="U78" s="99">
        <f ca="1" t="shared" si="10"/>
        <v>0.193306348640947</v>
      </c>
      <c r="V78" s="99">
        <f ca="1">IF(P78&gt;P77,IF(Q78&gt;1,MAX(AI77+(Wfc-Wwp)*(P78-P77)*AJ77/S77,0),AI77/P77*P78),MAX(AI77+(Wfc-Wwp)*(P78-P77)*AI77/R77,0))</f>
        <v>0.585153013920556</v>
      </c>
      <c r="W78" s="99">
        <f ca="1">IF(S78&gt;1,IF(P78&gt;P77,MAX(AJ77-(Wfc-Wwp)*(P78-P77)*AJ77/S77,0),MAX(AJ77-(Wfc-Wwp)*(P78-P77)*AI77/R77,0)),0)</f>
        <v>2.68688057442808e-8</v>
      </c>
      <c r="X78" s="99">
        <f ca="1">IF(AND(OR(AND(dec_vide_TAW&lt;0,V78&gt;R78*(p+0.04*(5-I77))),AND(dec_vide_TAW&gt;0,V78&gt;R78*dec_vide_TAW)),H78&gt;MAX(INDEX(H:H,Lig_min,1):INDEX(H:H,ROW(X78),1))*Kcbmax_stop_irrig*IF(ROW(X78)-lig_kcbmax&gt;0,1,0),MIN(INDEX(H:H,ROW(X78),1):INDEX(H:H,lig_kcbmax,1))&gt;Kcbmin_start_irrig),MIN(MAX(V78-E78*Irri_man-C78,0),Lame_max),0)</f>
        <v>0</v>
      </c>
      <c r="Y78" s="99">
        <f ca="1">MIN(MAX(T78-C78-IF(fw&gt;0,X78/fw*Irri_auto+E78/fw*Irri_man,0),0),TEW)</f>
        <v>0.0884548637295441</v>
      </c>
      <c r="Z78" s="99">
        <f ca="1">MIN(MAX(U78-C78,0),TEW)</f>
        <v>0</v>
      </c>
      <c r="AA78" s="99">
        <f ca="1">MIN(MAX(V78-C78-(X78*Irri_auto+E78*Irri_man),0),R78)</f>
        <v>0.387153013920556</v>
      </c>
      <c r="AB78" s="99">
        <f ca="1">MIN(MAX(W78+MIN(V78-C78-(X78*Irri_auto+E78*Irri_man),0),0),S78)</f>
        <v>2.68688057442808e-8</v>
      </c>
      <c r="AC78" s="99">
        <f ca="1">-MIN(W78+MIN(V78-C78-(X78*Irri_auto+E78*Irri_man),0),0)</f>
        <v>0</v>
      </c>
      <c r="AD78" s="39">
        <f ca="1">IF(((R78-AA78)/P78-((Wfc-Wwp)*Ze-Y78)/Ze)/Wfc*DiffE&lt;0,MAX(((R78-AA78)/P78-((Wfc-Wwp)*Ze-Y78)/Ze)/Wfc*DiffE,(R78*Ze-((Wfc-Wwp)*Ze-Y78-AA78)*P78)/(P78+Ze)-AA78),MIN(((R78-AA78)/P78-((Wfc-Wwp)*Ze-Y78)/Ze)/Wfc*DiffE,(R78*Ze-((Wfc-Wwp)*Ze-Y78-AA78)*P78)/(P78+Ze)-AA78))</f>
        <v>-8.09613468762752e-10</v>
      </c>
      <c r="AE78" s="39">
        <f ca="1">IF(((R78-AA78)/P78-((Wfc-Wwp)*Ze-Z78)/Ze)/Wfc*DiffE&lt;0,MAX(((R78-AA78)/P78-((Wfc-Wwp)*Ze-Z78)/Ze)/Wfc*DiffE,(R78*Ze-((Wfc-Wwp)*Ze-Z78-AA78)*P78)/(P78+Ze)-AA78),MIN(((R78-AA78)/P78-((Wfc-Wwp)*Ze-Z78)/Ze)/Wfc*DiffE,(R78*Ze-((Wfc-Wwp)*Ze-Z78-AA78)*P78)/(P78+Ze)-AA78))</f>
        <v>-2.57871074335364e-9</v>
      </c>
      <c r="AF78" s="39">
        <f ca="1">IF(((S78-AB78)/Q78-(R78-AA78)/P78)/Wfc*DiffR&lt;0,MAX(((S78-AB78)/Q78-(R78-AA78)/P78)/Wfc*DiffR,(S78*P78-(R78-AA78-AB78)*Q78)/(P78+Q78)-AB78),MIN(((S78-AB78)/Q78-(R78-AA78)/P78)/Wfc*DiffR,(S78*P78-(R78-AA78-AB78)*Q78)/(P78+Q78)-AB78))</f>
        <v>2.5787104617557e-9</v>
      </c>
      <c r="AG78" s="99">
        <f ca="1">MIN(MAX(Y78+IF(AU78&gt;0,B78*AZ78/AU78,0)+BE78-AD78,0),TEW)</f>
        <v>0.159442507531894</v>
      </c>
      <c r="AH78" s="99">
        <f ca="1">MIN(MAX(Z78+IF(AV78&gt;0,B78*BA78/AV78,0)+BF78-AE78,0),TEW)</f>
        <v>0.0481308369310352</v>
      </c>
      <c r="AI78" s="99">
        <f ca="1" t="shared" si="1"/>
        <v>0.490267132492677</v>
      </c>
      <c r="AJ78" s="99">
        <f ca="1" t="shared" si="2"/>
        <v>2.94475162060365e-8</v>
      </c>
      <c r="AK78" s="70">
        <f ca="1">IF((AU78+AV78)&gt;0,(TEW-(AG78*AU78+AH78*AV78)/(AU78+AV78))/TEW,(TEW-(AG78+AH78)/2)/TEW)</f>
        <v>0.995186641282056</v>
      </c>
      <c r="AL78" s="70">
        <f ca="1" t="shared" si="3"/>
        <v>0.989952236524148</v>
      </c>
      <c r="AM78" s="70">
        <f ca="1" t="shared" si="4"/>
        <v>0.999999999050387</v>
      </c>
      <c r="AN78" s="70">
        <f ca="1">Wwp+(Wfc-Wwp)*IF((AU78+AV78)&gt;0,(TEW-(AG78*AU78+AH78*AV78)/(AU78+AV78))/TEW,(TEW-(AG78+AH78)/2)/TEW)</f>
        <v>0.399374263366667</v>
      </c>
      <c r="AO78" s="70">
        <f ca="1">Wwp+(Wfc-Wwp)*(R78-AI78)/R78</f>
        <v>0.398693790748139</v>
      </c>
      <c r="AP78" s="70">
        <f ca="1">Wwp+(Wfc-Wwp)*(S78-AJ78)/S78</f>
        <v>0.39999999987655</v>
      </c>
      <c r="AQ78" s="70"/>
      <c r="AR78" s="70"/>
      <c r="AS78" s="70"/>
      <c r="AT78" s="70"/>
      <c r="AU78" s="70">
        <f ca="1">MIN((1-G78),fw)</f>
        <v>0.468</v>
      </c>
      <c r="AV78" s="70">
        <f ca="1" t="shared" si="5"/>
        <v>0</v>
      </c>
      <c r="AW78" s="70">
        <f ca="1">MIN((TEW-Y78)/(TEW-REW),1)</f>
        <v>0.126938324522949</v>
      </c>
      <c r="AX78" s="70">
        <f ca="1">MIN((TEW-Z78)/(TEW-REW),1)</f>
        <v>0.12727820001996</v>
      </c>
      <c r="AY78" s="70">
        <f ca="1">IF((AU78*(TEW-Y78))&gt;0,1/(1+((AV78*(TEW-Z78))/(AU78*(TEW-Y78)))),0)</f>
        <v>1</v>
      </c>
      <c r="AZ78" s="70">
        <f ca="1">MIN((AY78*AW78*(Kcmax-H78)),AU78*Kcmax)</f>
        <v>0.0698515348474004</v>
      </c>
      <c r="BA78" s="70">
        <f ca="1">MIN(((1-AY78)*AX78*(Kcmax-H78)),AV78*Kcmax)</f>
        <v>0</v>
      </c>
      <c r="BB78" s="70">
        <f ca="1" t="shared" si="6"/>
        <v>0.0107571363664997</v>
      </c>
      <c r="BC78" s="70">
        <f ca="1">MIN((R78-AA78)/(R78*(1-(p+0.04*(5-I77)))),1)</f>
        <v>1</v>
      </c>
      <c r="BD78" s="10">
        <f ca="1" t="shared" si="7"/>
        <v>0.0923569847843319</v>
      </c>
      <c r="BE78" s="70">
        <f ca="1">MIN(IF((1-AA78/R78)&gt;0,(1-Y78/TEW)/(1-AA78/R78)*(Ze/P78)^0.6,0),1)*BC78*H78*B78</f>
        <v>0.0480023088762845</v>
      </c>
      <c r="BF78" s="70">
        <f ca="1">MIN(IF((1-AA78/R78)&gt;0,(1-Z78/TEW)/(1-AA78/R78)*(Ze/P78)^0.6,0),1)*BC78*H78*B78</f>
        <v>0.0481308343523245</v>
      </c>
      <c r="BH78" s="10">
        <f ca="1" t="shared" si="8"/>
        <v>0.0833658668784278</v>
      </c>
      <c r="BI78" s="10">
        <f ca="1">IF(F78&lt;&gt;"",(Moy_Etobs-F78)^2,"")</f>
        <v>1.48115465204259</v>
      </c>
    </row>
    <row r="79" spans="1:61">
      <c r="A79" s="38">
        <v>39072</v>
      </c>
      <c r="B79" s="10">
        <v>0.204</v>
      </c>
      <c r="C79" s="39">
        <v>0</v>
      </c>
      <c r="D79">
        <v>0.552</v>
      </c>
      <c r="E79" s="39">
        <v>0</v>
      </c>
      <c r="F79"/>
      <c r="G79" s="10">
        <f ca="1">MIN(MAX(IF(AND(Durpla&gt;ROW()-MATCH(NDVImax,INDEX(D:D,Lig_min,1):INDEX(D:D,Lig_max,1),0)-Lig_min+1,ROW()-MATCH(NDVImax,INDEX(D:D,Lig_min,1):INDEX(D:D,Lig_max,1),0)-Lig_min+1&gt;0,D79*a_fc+b_fc&gt;fc_fin),NDVImax*a_fc+b_fc,D79*a_fc+b_fc),0),1)</f>
        <v>0.536</v>
      </c>
      <c r="H79" s="55">
        <f>MIN(MAX(D79*a_kcb+b_kcb,0),Kcmax)</f>
        <v>0.604229858465993</v>
      </c>
      <c r="I79" s="70">
        <f ca="1" t="shared" ref="I79:I142" si="11">MIN(BB79+BD79,R79-AA79)</f>
        <v>0.137365468859591</v>
      </c>
      <c r="O79" s="55"/>
      <c r="P79" s="35">
        <f ca="1">IF(ROW()-MATCH(NDVImax,INDEX(D:D,Lig_min,1):INDEX(D:D,Lig_max,1),0)-Lig_min+1&gt;0,MAX(MIN(Zr_min+MAX(INDEX(G:G,Lig_min,1):INDEX(G:G,Lig_max,1))/MAX(MAX(INDEX(G:G,Lig_min,1):INDEX(G:G,Lig_max,1)),Max_fc_pour_Zrmax)*(Zr_max-Zr_min),Zr_max),Ze+0.001),MAX(MIN(Zr_min+G79/MAX(MAX(INDEX(G:G,Lig_min,1):INDEX(G:G,Lig_max,1)),Max_fc_pour_Zrmax)*(Zr_max-Zr_min),Zr_max),Ze+0.001))</f>
        <v>377.218053353808</v>
      </c>
      <c r="Q79" s="35">
        <f ca="1">IF(Z_sol&gt;0,Z_sol-P79,0.1)</f>
        <v>236.656497710626</v>
      </c>
      <c r="R79" s="35">
        <f ca="1">(Wfc-Wwp)*P79</f>
        <v>49.038346935995</v>
      </c>
      <c r="S79" s="35">
        <f ca="1">(Wfc-Wwp)*Q79</f>
        <v>30.7653447023814</v>
      </c>
      <c r="T79" s="99">
        <f ca="1" t="shared" si="9"/>
        <v>0.159442507531894</v>
      </c>
      <c r="U79" s="99">
        <f ca="1" t="shared" si="10"/>
        <v>0.0481308369310352</v>
      </c>
      <c r="V79" s="99">
        <f ca="1">IF(P79&gt;P78,IF(Q79&gt;1,MAX(AI78+(Wfc-Wwp)*(P79-P78)*AJ78/S78,0),AI78/P78*P79),MAX(AI78+(Wfc-Wwp)*(P79-P78)*AI78/R78,0))</f>
        <v>0.490267132725037</v>
      </c>
      <c r="W79" s="99">
        <f ca="1">IF(S79&gt;1,IF(P79&gt;P78,MAX(AJ78-(Wfc-Wwp)*(P79-P78)*AJ78/S78,0),MAX(AJ78-(Wfc-Wwp)*(P79-P78)*AI78/R78,0)),0)</f>
        <v>2.92151563212768e-8</v>
      </c>
      <c r="X79" s="99">
        <f ca="1">IF(AND(OR(AND(dec_vide_TAW&lt;0,V79&gt;R79*(p+0.04*(5-I78))),AND(dec_vide_TAW&gt;0,V79&gt;R79*dec_vide_TAW)),H79&gt;MAX(INDEX(H:H,Lig_min,1):INDEX(H:H,ROW(X79),1))*Kcbmax_stop_irrig*IF(ROW(X79)-lig_kcbmax&gt;0,1,0),MIN(INDEX(H:H,ROW(X79),1):INDEX(H:H,lig_kcbmax,1))&gt;Kcbmin_start_irrig),MIN(MAX(V79-E79*Irri_man-C79,0),Lame_max),0)</f>
        <v>0</v>
      </c>
      <c r="Y79" s="99">
        <f ca="1">MIN(MAX(T79-C79-IF(fw&gt;0,X79/fw*Irri_auto+E79/fw*Irri_man,0),0),TEW)</f>
        <v>0.159442507531894</v>
      </c>
      <c r="Z79" s="99">
        <f ca="1">MIN(MAX(U79-C79,0),TEW)</f>
        <v>0.0481308369310352</v>
      </c>
      <c r="AA79" s="99">
        <f ca="1">MIN(MAX(V79-C79-(X79*Irri_auto+E79*Irri_man),0),R79)</f>
        <v>0.490267132725037</v>
      </c>
      <c r="AB79" s="99">
        <f ca="1">MIN(MAX(W79+MIN(V79-C79-(X79*Irri_auto+E79*Irri_man),0),0),S79)</f>
        <v>2.92151563212768e-8</v>
      </c>
      <c r="AC79" s="99">
        <f ca="1">-MIN(W79+MIN(V79-C79-(X79*Irri_auto+E79*Irri_man),0),0)</f>
        <v>0</v>
      </c>
      <c r="AD79" s="39">
        <f ca="1">IF(((R79-AA79)/P79-((Wfc-Wwp)*Ze-Y79)/Ze)/Wfc*DiffE&lt;0,MAX(((R79-AA79)/P79-((Wfc-Wwp)*Ze-Y79)/Ze)/Wfc*DiffE,(R79*Ze-((Wfc-Wwp)*Ze-Y79-AA79)*P79)/(P79+Ze)-AA79),MIN(((R79-AA79)/P79-((Wfc-Wwp)*Ze-Y79)/Ze)/Wfc*DiffE,(R79*Ze-((Wfc-Wwp)*Ze-Y79-AA79)*P79)/(P79+Ze)-AA79))</f>
        <v>-6.03788322151022e-11</v>
      </c>
      <c r="AE79" s="39">
        <f ca="1">IF(((R79-AA79)/P79-((Wfc-Wwp)*Ze-Z79)/Ze)/Wfc*DiffE&lt;0,MAX(((R79-AA79)/P79-((Wfc-Wwp)*Ze-Z79)/Ze)/Wfc*DiffE,(R79*Ze-((Wfc-Wwp)*Ze-Z79-AA79)*P79)/(P79+Ze)-AA79),MIN(((R79-AA79)/P79-((Wfc-Wwp)*Ze-Z79)/Ze)/Wfc*DiffE,(R79*Ze-((Wfc-Wwp)*Ze-Z79-AA79)*P79)/(P79+Ze)-AA79))</f>
        <v>-2.28661224423228e-9</v>
      </c>
      <c r="AF79" s="39">
        <f ca="1">IF(((S79-AB79)/Q79-(R79-AA79)/P79)/Wfc*DiffR&lt;0,MAX(((S79-AB79)/Q79-(R79-AA79)/P79)/Wfc*DiffR,(S79*P79-(R79-AA79-AB79)*Q79)/(P79+Q79)-AB79),MIN(((S79-AB79)/Q79-(R79-AA79)/P79)/Wfc*DiffR,(S79*P79-(R79-AA79-AB79)*Q79)/(P79+Q79)-AB79))</f>
        <v>3.24922867422903e-9</v>
      </c>
      <c r="AG79" s="99">
        <f ca="1">MIN(MAX(Y79+IF(AU79&gt;0,B79*AZ79/AU79,0)+BE79-AD79,0),TEW)</f>
        <v>0.25370515025388</v>
      </c>
      <c r="AH79" s="99">
        <f ca="1">MIN(MAX(Z79+IF(AV79&gt;0,B79*BA79/AV79,0)+BF79-AE79,0),TEW)</f>
        <v>0.112215656307219</v>
      </c>
      <c r="AI79" s="99">
        <f ca="1" t="shared" ref="AI79:AI142" si="12">MIN(MAX(AA79+I79-AF79,0),R79)</f>
        <v>0.6276325983354</v>
      </c>
      <c r="AJ79" s="99">
        <f ca="1" t="shared" ref="AJ79:AJ142" si="13">MIN(MAX(AB79+AF79,0),S79)</f>
        <v>3.24643849955058e-8</v>
      </c>
      <c r="AK79" s="70">
        <f ca="1">IF((AU79+AV79)&gt;0,(TEW-(AG79*AU79+AH79*AV79)/(AU79+AV79))/TEW,(TEW-(AG79+AH79)/2)/TEW)</f>
        <v>0.992340976596109</v>
      </c>
      <c r="AL79" s="70">
        <f ca="1" t="shared" ref="AL79:AL142" si="14">(R79-AI79)/R79</f>
        <v>0.987201187691857</v>
      </c>
      <c r="AM79" s="70">
        <f ca="1" t="shared" ref="AM79:AM142" si="15">(S79-AJ79)/S79</f>
        <v>0.999999998944774</v>
      </c>
      <c r="AN79" s="70">
        <f ca="1">Wwp+(Wfc-Wwp)*IF((AU79+AV79)&gt;0,(TEW-(AG79*AU79+AH79*AV79)/(AU79+AV79))/TEW,(TEW-(AG79+AH79)/2)/TEW)</f>
        <v>0.399004326957494</v>
      </c>
      <c r="AO79" s="70">
        <f ca="1">Wwp+(Wfc-Wwp)*(R79-AI79)/R79</f>
        <v>0.398336154399941</v>
      </c>
      <c r="AP79" s="70">
        <f ca="1">Wwp+(Wfc-Wwp)*(S79-AJ79)/S79</f>
        <v>0.399999999862821</v>
      </c>
      <c r="AQ79" s="70"/>
      <c r="AR79" s="70"/>
      <c r="AS79" s="70"/>
      <c r="AT79" s="70"/>
      <c r="AU79" s="70">
        <f ca="1">MIN((1-G79),fw)</f>
        <v>0.464</v>
      </c>
      <c r="AV79" s="70">
        <f ca="1" t="shared" ref="AV79:AV142" si="16">1-G79-AU79</f>
        <v>0</v>
      </c>
      <c r="AW79" s="70">
        <f ca="1">MIN((TEW-Y79)/(TEW-REW),1)</f>
        <v>0.12666556438629</v>
      </c>
      <c r="AX79" s="70">
        <f ca="1">MIN((TEW-Z79)/(TEW-REW),1)</f>
        <v>0.127093263981016</v>
      </c>
      <c r="AY79" s="70">
        <f ca="1">IF((AU79*(TEW-Y79))&gt;0,1/(1+((AV79*(TEW-Z79))/(AU79*(TEW-Y79)))),0)</f>
        <v>1</v>
      </c>
      <c r="AZ79" s="70">
        <f ca="1">MIN((AY79*AW79*(Kcmax-H79)),AU79*Kcmax)</f>
        <v>0.0691302830025904</v>
      </c>
      <c r="BA79" s="70">
        <f ca="1">MIN(((1-AY79)*AX79*(Kcmax-H79)),AV79*Kcmax)</f>
        <v>0</v>
      </c>
      <c r="BB79" s="70">
        <f ca="1" t="shared" ref="BB79:BB142" si="17">B79*(AZ79+BA79)*IF($M$11=1,1-G79,1)</f>
        <v>0.0141025777325284</v>
      </c>
      <c r="BC79" s="70">
        <f ca="1">MIN((R79-AA79)/(R79*(1-(p+0.04*(5-I78)))),1)</f>
        <v>1</v>
      </c>
      <c r="BD79" s="10">
        <f ca="1" t="shared" ref="BD79:BD142" si="18">B79*(H79*BC79)</f>
        <v>0.123262891127063</v>
      </c>
      <c r="BE79" s="70">
        <f ca="1">MIN(IF((1-AA79/R79)&gt;0,(1-Y79/TEW)/(1-AA79/R79)*(Ze/P79)^0.6,0),1)*BC79*H79*B79</f>
        <v>0.0638691561690886</v>
      </c>
      <c r="BF79" s="70">
        <f ca="1">MIN(IF((1-AA79/R79)&gt;0,(1-Z79/TEW)/(1-AA79/R79)*(Ze/P79)^0.6,0),1)*BC79*H79*B79</f>
        <v>0.0640848170895712</v>
      </c>
      <c r="BH79" s="10" t="str">
        <f ca="1" t="shared" ref="BH79:BH142" si="19">IF(F79&lt;&gt;"",(F79-I79)^2,"")</f>
        <v/>
      </c>
      <c r="BI79" s="10" t="str">
        <f ca="1">IF(F79&lt;&gt;"",(Moy_Etobs-F79)^2,"")</f>
        <v/>
      </c>
    </row>
    <row r="80" spans="1:61">
      <c r="A80" s="38">
        <v>39073</v>
      </c>
      <c r="B80" s="10">
        <v>0.31</v>
      </c>
      <c r="C80" s="39">
        <v>0</v>
      </c>
      <c r="D80">
        <v>0.555</v>
      </c>
      <c r="E80" s="39">
        <v>0</v>
      </c>
      <c r="F80" s="10">
        <v>0.3366144</v>
      </c>
      <c r="G80" s="10">
        <f ca="1">MIN(MAX(IF(AND(Durpla&gt;ROW()-MATCH(NDVImax,INDEX(D:D,Lig_min,1):INDEX(D:D,Lig_max,1),0)-Lig_min+1,ROW()-MATCH(NDVImax,INDEX(D:D,Lig_min,1):INDEX(D:D,Lig_max,1),0)-Lig_min+1&gt;0,D80*a_fc+b_fc&gt;fc_fin),NDVImax*a_fc+b_fc,D80*a_fc+b_fc),0),1)</f>
        <v>0.54</v>
      </c>
      <c r="H80" s="55">
        <f>MIN(MAX(D80*a_kcb+b_kcb,0),Kcmax)</f>
        <v>0.608739036514247</v>
      </c>
      <c r="I80" s="70">
        <f ca="1" t="shared" si="11"/>
        <v>0.209901657833021</v>
      </c>
      <c r="O80" s="55"/>
      <c r="P80" s="35">
        <f ca="1">IF(ROW()-MATCH(NDVImax,INDEX(D:D,Lig_min,1):INDEX(D:D,Lig_max,1),0)-Lig_min+1&gt;0,MAX(MIN(Zr_min+MAX(INDEX(G:G,Lig_min,1):INDEX(G:G,Lig_max,1))/MAX(MAX(INDEX(G:G,Lig_min,1):INDEX(G:G,Lig_max,1)),Max_fc_pour_Zrmax)*(Zr_max-Zr_min),Zr_max),Ze+0.001),MAX(MIN(Zr_min+G80/MAX(MAX(INDEX(G:G,Lig_min,1):INDEX(G:G,Lig_max,1)),Max_fc_pour_Zrmax)*(Zr_max-Zr_min),Zr_max),Ze+0.001))</f>
        <v>379.100277632568</v>
      </c>
      <c r="Q80" s="35">
        <f ca="1">IF(Z_sol&gt;0,Z_sol-P80,0.1)</f>
        <v>234.774273431866</v>
      </c>
      <c r="R80" s="35">
        <f ca="1">(Wfc-Wwp)*P80</f>
        <v>49.2830360922338</v>
      </c>
      <c r="S80" s="35">
        <f ca="1">(Wfc-Wwp)*Q80</f>
        <v>30.5206555461426</v>
      </c>
      <c r="T80" s="99">
        <f ca="1" t="shared" ref="T80:T143" si="20">AG79</f>
        <v>0.25370515025388</v>
      </c>
      <c r="U80" s="99">
        <f ca="1" t="shared" ref="U80:U143" si="21">AH79</f>
        <v>0.112215656307219</v>
      </c>
      <c r="V80" s="99">
        <f ca="1">IF(P80&gt;P79,IF(Q80&gt;1,MAX(AI79+(Wfc-Wwp)*(P80-P79)*AJ79/S79,0),AI79/P79*P80),MAX(AI79+(Wfc-Wwp)*(P80-P79)*AI79/R79,0))</f>
        <v>0.627632598593602</v>
      </c>
      <c r="W80" s="99">
        <f ca="1">IF(S80&gt;1,IF(P80&gt;P79,MAX(AJ79-(Wfc-Wwp)*(P80-P79)*AJ79/S79,0),MAX(AJ79-(Wfc-Wwp)*(P80-P79)*AI79/R79,0)),0)</f>
        <v>3.22061826886828e-8</v>
      </c>
      <c r="X80" s="99">
        <f ca="1">IF(AND(OR(AND(dec_vide_TAW&lt;0,V80&gt;R80*(p+0.04*(5-I79))),AND(dec_vide_TAW&gt;0,V80&gt;R80*dec_vide_TAW)),H80&gt;MAX(INDEX(H:H,Lig_min,1):INDEX(H:H,ROW(X80),1))*Kcbmax_stop_irrig*IF(ROW(X80)-lig_kcbmax&gt;0,1,0),MIN(INDEX(H:H,ROW(X80),1):INDEX(H:H,lig_kcbmax,1))&gt;Kcbmin_start_irrig),MIN(MAX(V80-E80*Irri_man-C80,0),Lame_max),0)</f>
        <v>0</v>
      </c>
      <c r="Y80" s="99">
        <f ca="1">MIN(MAX(T80-C80-IF(fw&gt;0,X80/fw*Irri_auto+E80/fw*Irri_man,0),0),TEW)</f>
        <v>0.25370515025388</v>
      </c>
      <c r="Z80" s="99">
        <f ca="1">MIN(MAX(U80-C80,0),TEW)</f>
        <v>0.112215656307219</v>
      </c>
      <c r="AA80" s="99">
        <f ca="1">MIN(MAX(V80-C80-(X80*Irri_auto+E80*Irri_man),0),R80)</f>
        <v>0.627632598593602</v>
      </c>
      <c r="AB80" s="99">
        <f ca="1">MIN(MAX(W80+MIN(V80-C80-(X80*Irri_auto+E80*Irri_man),0),0),S80)</f>
        <v>3.22061826886828e-8</v>
      </c>
      <c r="AC80" s="99">
        <f ca="1">-MIN(W80+MIN(V80-C80-(X80*Irri_auto+E80*Irri_man),0),0)</f>
        <v>0</v>
      </c>
      <c r="AD80" s="39">
        <f ca="1">IF(((R80-AA80)/P80-((Wfc-Wwp)*Ze-Y80)/Ze)/Wfc*DiffE&lt;0,MAX(((R80-AA80)/P80-((Wfc-Wwp)*Ze-Y80)/Ze)/Wfc*DiffE,(R80*Ze-((Wfc-Wwp)*Ze-Y80-AA80)*P80)/(P80+Ze)-AA80),MIN(((R80-AA80)/P80-((Wfc-Wwp)*Ze-Y80)/Ze)/Wfc*DiffE,(R80*Ze-((Wfc-Wwp)*Ze-Y80-AA80)*P80)/(P80+Ze)-AA80))</f>
        <v>9.35141392380615e-10</v>
      </c>
      <c r="AE80" s="39">
        <f ca="1">IF(((R80-AA80)/P80-((Wfc-Wwp)*Ze-Z80)/Ze)/Wfc*DiffE&lt;0,MAX(((R80-AA80)/P80-((Wfc-Wwp)*Ze-Z80)/Ze)/Wfc*DiffE,(R80*Ze-((Wfc-Wwp)*Ze-Z80-AA80)*P80)/(P80+Ze)-AA80),MIN(((R80-AA80)/P80-((Wfc-Wwp)*Ze-Z80)/Ze)/Wfc*DiffE,(R80*Ze-((Wfc-Wwp)*Ze-Z80-AA80)*P80)/(P80+Ze)-AA80))</f>
        <v>-1.89464848655264e-9</v>
      </c>
      <c r="AF80" s="39">
        <f ca="1">IF(((S80-AB80)/Q80-(R80-AA80)/P80)/Wfc*DiffR&lt;0,MAX(((S80-AB80)/Q80-(R80-AA80)/P80)/Wfc*DiffR,(S80*P80-(R80-AA80-AB80)*Q80)/(P80+Q80)-AB80),MIN(((S80-AB80)/Q80-(R80-AA80)/P80)/Wfc*DiffR,(S80*P80-(R80-AA80-AB80)*Q80)/(P80+Q80)-AB80))</f>
        <v>4.13896126974865e-9</v>
      </c>
      <c r="AG80" s="99">
        <f ca="1">MIN(MAX(Y80+IF(AU80&gt;0,B80*AZ80/AU80,0)+BE80-AD80,0),TEW)</f>
        <v>0.397255514387381</v>
      </c>
      <c r="AH80" s="99">
        <f ca="1">MIN(MAX(Z80+IF(AV80&gt;0,B80*BA80/AV80,0)+BF80-AE80,0),TEW)</f>
        <v>0.21011483432441</v>
      </c>
      <c r="AI80" s="99">
        <f ca="1" t="shared" si="12"/>
        <v>0.837534252287662</v>
      </c>
      <c r="AJ80" s="99">
        <f ca="1" t="shared" si="13"/>
        <v>3.63451439584314e-8</v>
      </c>
      <c r="AK80" s="70">
        <f ca="1">IF((AU80+AV80)&gt;0,(TEW-(AG80*AU80+AH80*AV80)/(AU80+AV80))/TEW,(TEW-(AG80+AH80)/2)/TEW)</f>
        <v>0.988007380697739</v>
      </c>
      <c r="AL80" s="70">
        <f ca="1" t="shared" si="14"/>
        <v>0.983005627926003</v>
      </c>
      <c r="AM80" s="70">
        <f ca="1" t="shared" si="15"/>
        <v>0.999999998809162</v>
      </c>
      <c r="AN80" s="70">
        <f ca="1">Wwp+(Wfc-Wwp)*IF((AU80+AV80)&gt;0,(TEW-(AG80*AU80+AH80*AV80)/(AU80+AV80))/TEW,(TEW-(AG80+AH80)/2)/TEW)</f>
        <v>0.398440959490706</v>
      </c>
      <c r="AO80" s="70">
        <f ca="1">Wwp+(Wfc-Wwp)*(R80-AI80)/R80</f>
        <v>0.39779073163038</v>
      </c>
      <c r="AP80" s="70">
        <f ca="1">Wwp+(Wfc-Wwp)*(S80-AJ80)/S80</f>
        <v>0.399999999845191</v>
      </c>
      <c r="AQ80" s="70"/>
      <c r="AR80" s="70"/>
      <c r="AS80" s="70"/>
      <c r="AT80" s="70"/>
      <c r="AU80" s="70">
        <f ca="1">MIN((1-G80),fw)</f>
        <v>0.46</v>
      </c>
      <c r="AV80" s="70">
        <f ca="1" t="shared" si="16"/>
        <v>0</v>
      </c>
      <c r="AW80" s="70">
        <f ca="1">MIN((TEW-Y80)/(TEW-REW),1)</f>
        <v>0.126303373307202</v>
      </c>
      <c r="AX80" s="70">
        <f ca="1">MIN((TEW-Z80)/(TEW-REW),1)</f>
        <v>0.126847026986033</v>
      </c>
      <c r="AY80" s="70">
        <f ca="1">IF((AU80*(TEW-Y80))&gt;0,1/(1+((AV80*(TEW-Z80))/(AU80*(TEW-Y80)))),0)</f>
        <v>1</v>
      </c>
      <c r="AZ80" s="70">
        <f ca="1">MIN((AY80*AW80*(Kcmax-H80)),AU80*Kcmax)</f>
        <v>0.0683630855277571</v>
      </c>
      <c r="BA80" s="70">
        <f ca="1">MIN(((1-AY80)*AX80*(Kcmax-H80)),AV80*Kcmax)</f>
        <v>0</v>
      </c>
      <c r="BB80" s="70">
        <f ca="1" t="shared" si="17"/>
        <v>0.0211925565136047</v>
      </c>
      <c r="BC80" s="70">
        <f ca="1">MIN((R80-AA80)/(R80*(1-(p+0.04*(5-I79)))),1)</f>
        <v>1</v>
      </c>
      <c r="BD80" s="10">
        <f ca="1" t="shared" si="18"/>
        <v>0.188709101319417</v>
      </c>
      <c r="BE80" s="70">
        <f ca="1">MIN(IF((1-AA80/R80)&gt;0,(1-Y80/TEW)/(1-AA80/R80)*(Ze/P80)^0.6,0),1)*BC80*H80*B80</f>
        <v>0.0974795900390675</v>
      </c>
      <c r="BF80" s="70">
        <f ca="1">MIN(IF((1-AA80/R80)&gt;0,(1-Z80/TEW)/(1-AA80/R80)*(Ze/P80)^0.6,0),1)*BC80*H80*B80</f>
        <v>0.0978991761225425</v>
      </c>
      <c r="BH80" s="10">
        <f ca="1" t="shared" si="19"/>
        <v>0.0160561190274752</v>
      </c>
      <c r="BI80" s="10">
        <f ca="1">IF(F80&lt;&gt;"",(Moy_Etobs-F80)^2,"")</f>
        <v>1.61864085775446</v>
      </c>
    </row>
    <row r="81" spans="1:61">
      <c r="A81" s="38">
        <v>39074</v>
      </c>
      <c r="B81" s="10">
        <v>0.178</v>
      </c>
      <c r="C81" s="39">
        <v>0.198</v>
      </c>
      <c r="D81">
        <v>0.559</v>
      </c>
      <c r="E81" s="39">
        <v>0</v>
      </c>
      <c r="F81"/>
      <c r="G81" s="10">
        <f ca="1">MIN(MAX(IF(AND(Durpla&gt;ROW()-MATCH(NDVImax,INDEX(D:D,Lig_min,1):INDEX(D:D,Lig_max,1),0)-Lig_min+1,ROW()-MATCH(NDVImax,INDEX(D:D,Lig_min,1):INDEX(D:D,Lig_max,1),0)-Lig_min+1&gt;0,D81*a_fc+b_fc&gt;fc_fin),NDVImax*a_fc+b_fc,D81*a_fc+b_fc),0),1)</f>
        <v>0.545333333333333</v>
      </c>
      <c r="H81" s="55">
        <f>MIN(MAX(D81*a_kcb+b_kcb,0),Kcmax)</f>
        <v>0.614751273911918</v>
      </c>
      <c r="I81" s="70">
        <f ca="1" t="shared" si="11"/>
        <v>0.121479121677186</v>
      </c>
      <c r="O81" s="55"/>
      <c r="P81" s="35">
        <f ca="1">IF(ROW()-MATCH(NDVImax,INDEX(D:D,Lig_min,1):INDEX(D:D,Lig_max,1),0)-Lig_min+1&gt;0,MAX(MIN(Zr_min+MAX(INDEX(G:G,Lig_min,1):INDEX(G:G,Lig_max,1))/MAX(MAX(INDEX(G:G,Lig_min,1):INDEX(G:G,Lig_max,1)),Max_fc_pour_Zrmax)*(Zr_max-Zr_min),Zr_max),Ze+0.001),MAX(MIN(Zr_min+G81/MAX(MAX(INDEX(G:G,Lig_min,1):INDEX(G:G,Lig_max,1)),Max_fc_pour_Zrmax)*(Zr_max-Zr_min),Zr_max),Ze+0.001))</f>
        <v>381.609910004247</v>
      </c>
      <c r="Q81" s="35">
        <f ca="1">IF(Z_sol&gt;0,Z_sol-P81,0.1)</f>
        <v>232.264641060187</v>
      </c>
      <c r="R81" s="35">
        <f ca="1">(Wfc-Wwp)*P81</f>
        <v>49.6092883005522</v>
      </c>
      <c r="S81" s="35">
        <f ca="1">(Wfc-Wwp)*Q81</f>
        <v>30.1944033378243</v>
      </c>
      <c r="T81" s="99">
        <f ca="1" t="shared" si="20"/>
        <v>0.397255514387381</v>
      </c>
      <c r="U81" s="99">
        <f ca="1" t="shared" si="21"/>
        <v>0.21011483432441</v>
      </c>
      <c r="V81" s="99">
        <f ca="1">IF(P81&gt;P80,IF(Q81&gt;1,MAX(AI80+(Wfc-Wwp)*(P81-P80)*AJ80/S80,0),AI80/P80*P81),MAX(AI80+(Wfc-Wwp)*(P81-P80)*AI80/R80,0))</f>
        <v>0.837534252676175</v>
      </c>
      <c r="W81" s="99">
        <f ca="1">IF(S81&gt;1,IF(P81&gt;P80,MAX(AJ80-(Wfc-Wwp)*(P81-P80)*AJ80/S80,0),MAX(AJ80-(Wfc-Wwp)*(P81-P80)*AI80/R80,0)),0)</f>
        <v>3.59566305642758e-8</v>
      </c>
      <c r="X81" s="99">
        <f ca="1">IF(AND(OR(AND(dec_vide_TAW&lt;0,V81&gt;R81*(p+0.04*(5-I80))),AND(dec_vide_TAW&gt;0,V81&gt;R81*dec_vide_TAW)),H81&gt;MAX(INDEX(H:H,Lig_min,1):INDEX(H:H,ROW(X81),1))*Kcbmax_stop_irrig*IF(ROW(X81)-lig_kcbmax&gt;0,1,0),MIN(INDEX(H:H,ROW(X81),1):INDEX(H:H,lig_kcbmax,1))&gt;Kcbmin_start_irrig),MIN(MAX(V81-E81*Irri_man-C81,0),Lame_max),0)</f>
        <v>0</v>
      </c>
      <c r="Y81" s="99">
        <f ca="1">MIN(MAX(T81-C81-IF(fw&gt;0,X81/fw*Irri_auto+E81/fw*Irri_man,0),0),TEW)</f>
        <v>0.199255514387381</v>
      </c>
      <c r="Z81" s="99">
        <f ca="1">MIN(MAX(U81-C81,0),TEW)</f>
        <v>0.0121148343244096</v>
      </c>
      <c r="AA81" s="99">
        <f ca="1">MIN(MAX(V81-C81-(X81*Irri_auto+E81*Irri_man),0),R81)</f>
        <v>0.639534252676175</v>
      </c>
      <c r="AB81" s="99">
        <f ca="1">MIN(MAX(W81+MIN(V81-C81-(X81*Irri_auto+E81*Irri_man),0),0),S81)</f>
        <v>3.59566305642758e-8</v>
      </c>
      <c r="AC81" s="99">
        <f ca="1">-MIN(W81+MIN(V81-C81-(X81*Irri_auto+E81*Irri_man),0),0)</f>
        <v>0</v>
      </c>
      <c r="AD81" s="39">
        <f ca="1">IF(((R81-AA81)/P81-((Wfc-Wwp)*Ze-Y81)/Ze)/Wfc*DiffE&lt;0,MAX(((R81-AA81)/P81-((Wfc-Wwp)*Ze-Y81)/Ze)/Wfc*DiffE,(R81*Ze-((Wfc-Wwp)*Ze-Y81-AA81)*P81)/(P81+Ze)-AA81),MIN(((R81-AA81)/P81-((Wfc-Wwp)*Ze-Y81)/Ze)/Wfc*DiffE,(R81*Ze-((Wfc-Wwp)*Ze-Y81-AA81)*P81)/(P81+Ze)-AA81))</f>
        <v>-2.04601744816305e-10</v>
      </c>
      <c r="AE81" s="39">
        <f ca="1">IF(((R81-AA81)/P81-((Wfc-Wwp)*Ze-Z81)/Ze)/Wfc*DiffE&lt;0,MAX(((R81-AA81)/P81-((Wfc-Wwp)*Ze-Z81)/Ze)/Wfc*DiffE,(R81*Ze-((Wfc-Wwp)*Ze-Z81-AA81)*P81)/(P81+Ze)-AA81),MIN(((R81-AA81)/P81-((Wfc-Wwp)*Ze-Z81)/Ze)/Wfc*DiffE,(R81*Ze-((Wfc-Wwp)*Ze-Z81-AA81)*P81)/(P81+Ze)-AA81))</f>
        <v>-3.94741534607571e-9</v>
      </c>
      <c r="AF81" s="39">
        <f ca="1">IF(((S81-AB81)/Q81-(R81-AA81)/P81)/Wfc*DiffR&lt;0,MAX(((S81-AB81)/Q81-(R81-AA81)/P81)/Wfc*DiffR,(S81*P81-(R81-AA81-AB81)*Q81)/(P81+Q81)-AB81),MIN(((S81-AB81)/Q81-(R81-AA81)/P81)/Wfc*DiffR,(S81*P81-(R81-AA81-AB81)*Q81)/(P81+Q81)-AB81))</f>
        <v>4.18971164554173e-9</v>
      </c>
      <c r="AG81" s="99">
        <f ca="1">MIN(MAX(Y81+IF(AU81&gt;0,B81*AZ81/AU81,0)+BE81-AD81,0),TEW)</f>
        <v>0.282169725335158</v>
      </c>
      <c r="AH81" s="99">
        <f ca="1">MIN(MAX(Z81+IF(AV81&gt;0,B81*BA81/AV81,0)+BF81-AE81,0),TEW)</f>
        <v>0.0688392330441443</v>
      </c>
      <c r="AI81" s="99">
        <f ca="1" t="shared" si="12"/>
        <v>0.76101337016365</v>
      </c>
      <c r="AJ81" s="99">
        <f ca="1" t="shared" si="13"/>
        <v>4.01463422098175e-8</v>
      </c>
      <c r="AK81" s="70">
        <f ca="1">IF((AU81+AV81)&gt;0,(TEW-(AG81*AU81+AH81*AV81)/(AU81+AV81))/TEW,(TEW-(AG81+AH81)/2)/TEW)</f>
        <v>0.991481668669127</v>
      </c>
      <c r="AL81" s="70">
        <f ca="1" t="shared" si="14"/>
        <v>0.984659861162427</v>
      </c>
      <c r="AM81" s="70">
        <f ca="1" t="shared" si="15"/>
        <v>0.999999998670404</v>
      </c>
      <c r="AN81" s="70">
        <f ca="1">Wwp+(Wfc-Wwp)*IF((AU81+AV81)&gt;0,(TEW-(AG81*AU81+AH81*AV81)/(AU81+AV81))/TEW,(TEW-(AG81+AH81)/2)/TEW)</f>
        <v>0.398892616926987</v>
      </c>
      <c r="AO81" s="70">
        <f ca="1">Wwp+(Wfc-Wwp)*(R81-AI81)/R81</f>
        <v>0.398005781951116</v>
      </c>
      <c r="AP81" s="70">
        <f ca="1">Wwp+(Wfc-Wwp)*(S81-AJ81)/S81</f>
        <v>0.399999999827153</v>
      </c>
      <c r="AQ81" s="70"/>
      <c r="AR81" s="70"/>
      <c r="AS81" s="70"/>
      <c r="AT81" s="70"/>
      <c r="AU81" s="70">
        <f ca="1">MIN((1-G81),fw)</f>
        <v>0.454666666666667</v>
      </c>
      <c r="AV81" s="70">
        <f ca="1" t="shared" si="16"/>
        <v>0</v>
      </c>
      <c r="AW81" s="70">
        <f ca="1">MIN((TEW-Y81)/(TEW-REW),1)</f>
        <v>0.126512588451197</v>
      </c>
      <c r="AX81" s="70">
        <f ca="1">MIN((TEW-Z81)/(TEW-REW),1)</f>
        <v>0.127231650455995</v>
      </c>
      <c r="AY81" s="70">
        <f ca="1">IF((AU81*(TEW-Y81))&gt;0,1/(1+((AV81*(TEW-Z81))/(AU81*(TEW-Y81)))),0)</f>
        <v>1</v>
      </c>
      <c r="AZ81" s="70">
        <f ca="1">MIN((AY81*AW81*(Kcmax-H81)),AU81*Kcmax)</f>
        <v>0.0677157018026091</v>
      </c>
      <c r="BA81" s="70">
        <f ca="1">MIN(((1-AY81)*AX81*(Kcmax-H81)),AV81*Kcmax)</f>
        <v>0</v>
      </c>
      <c r="BB81" s="70">
        <f ca="1" t="shared" si="17"/>
        <v>0.0120533949208644</v>
      </c>
      <c r="BC81" s="70">
        <f ca="1">MIN((R81-AA81)/(R81*(1-(p+0.04*(5-I80)))),1)</f>
        <v>1</v>
      </c>
      <c r="BD81" s="10">
        <f ca="1" t="shared" si="18"/>
        <v>0.109425726756321</v>
      </c>
      <c r="BE81" s="70">
        <f ca="1">MIN(IF((1-AA81/R81)&gt;0,(1-Y81/TEW)/(1-AA81/R81)*(Ze/P81)^0.6,0),1)*BC81*H81*B81</f>
        <v>0.0564038113571098</v>
      </c>
      <c r="BF81" s="70">
        <f ca="1">MIN(IF((1-AA81/R81)&gt;0,(1-Z81/TEW)/(1-AA81/R81)*(Ze/P81)^0.6,0),1)*BC81*H81*B81</f>
        <v>0.0567243947723193</v>
      </c>
      <c r="BH81" s="10" t="str">
        <f ca="1" t="shared" si="19"/>
        <v/>
      </c>
      <c r="BI81" s="10" t="str">
        <f ca="1">IF(F81&lt;&gt;"",(Moy_Etobs-F81)^2,"")</f>
        <v/>
      </c>
    </row>
    <row r="82" spans="1:61">
      <c r="A82" s="38">
        <v>39075</v>
      </c>
      <c r="B82" s="10">
        <v>0.258</v>
      </c>
      <c r="C82" s="39">
        <v>0</v>
      </c>
      <c r="D82">
        <v>0.562</v>
      </c>
      <c r="E82" s="39">
        <v>0</v>
      </c>
      <c r="F82" s="10">
        <v>0.222264</v>
      </c>
      <c r="G82" s="10">
        <f ca="1">MIN(MAX(IF(AND(Durpla&gt;ROW()-MATCH(NDVImax,INDEX(D:D,Lig_min,1):INDEX(D:D,Lig_max,1),0)-Lig_min+1,ROW()-MATCH(NDVImax,INDEX(D:D,Lig_min,1):INDEX(D:D,Lig_max,1),0)-Lig_min+1&gt;0,D82*a_fc+b_fc&gt;fc_fin),NDVImax*a_fc+b_fc,D82*a_fc+b_fc),0),1)</f>
        <v>0.549333333333333</v>
      </c>
      <c r="H82" s="55">
        <f>MIN(MAX(D82*a_kcb+b_kcb,0),Kcmax)</f>
        <v>0.619260451960172</v>
      </c>
      <c r="I82" s="70">
        <f ca="1" t="shared" si="11"/>
        <v>0.17704904270243</v>
      </c>
      <c r="O82" s="55"/>
      <c r="P82" s="35">
        <f ca="1">IF(ROW()-MATCH(NDVImax,INDEX(D:D,Lig_min,1):INDEX(D:D,Lig_max,1),0)-Lig_min+1&gt;0,MAX(MIN(Zr_min+MAX(INDEX(G:G,Lig_min,1):INDEX(G:G,Lig_max,1))/MAX(MAX(INDEX(G:G,Lig_min,1):INDEX(G:G,Lig_max,1)),Max_fc_pour_Zrmax)*(Zr_max-Zr_min),Zr_max),Ze+0.001),MAX(MIN(Zr_min+G82/MAX(MAX(INDEX(G:G,Lig_min,1):INDEX(G:G,Lig_max,1)),Max_fc_pour_Zrmax)*(Zr_max-Zr_min),Zr_max),Ze+0.001))</f>
        <v>383.492134283007</v>
      </c>
      <c r="Q82" s="35">
        <f ca="1">IF(Z_sol&gt;0,Z_sol-P82,0.1)</f>
        <v>230.382416781427</v>
      </c>
      <c r="R82" s="35">
        <f ca="1">(Wfc-Wwp)*P82</f>
        <v>49.8539774567909</v>
      </c>
      <c r="S82" s="35">
        <f ca="1">(Wfc-Wwp)*Q82</f>
        <v>29.9497141815855</v>
      </c>
      <c r="T82" s="99">
        <f ca="1" t="shared" si="20"/>
        <v>0.282169725335158</v>
      </c>
      <c r="U82" s="99">
        <f ca="1" t="shared" si="21"/>
        <v>0.0688392330441443</v>
      </c>
      <c r="V82" s="99">
        <f ca="1">IF(P82&gt;P81,IF(Q82&gt;1,MAX(AI81+(Wfc-Wwp)*(P82-P81)*AJ81/S81,0),AI81/P81*P82),MAX(AI81+(Wfc-Wwp)*(P82-P81)*AI81/R81,0))</f>
        <v>0.761013370488987</v>
      </c>
      <c r="W82" s="99">
        <f ca="1">IF(S82&gt;1,IF(P82&gt;P81,MAX(AJ81-(Wfc-Wwp)*(P82-P81)*AJ81/S81,0),MAX(AJ81-(Wfc-Wwp)*(P82-P81)*AI81/R81,0)),0)</f>
        <v>3.98210046135919e-8</v>
      </c>
      <c r="X82" s="99">
        <f ca="1">IF(AND(OR(AND(dec_vide_TAW&lt;0,V82&gt;R82*(p+0.04*(5-I81))),AND(dec_vide_TAW&gt;0,V82&gt;R82*dec_vide_TAW)),H82&gt;MAX(INDEX(H:H,Lig_min,1):INDEX(H:H,ROW(X82),1))*Kcbmax_stop_irrig*IF(ROW(X82)-lig_kcbmax&gt;0,1,0),MIN(INDEX(H:H,ROW(X82),1):INDEX(H:H,lig_kcbmax,1))&gt;Kcbmin_start_irrig),MIN(MAX(V82-E82*Irri_man-C82,0),Lame_max),0)</f>
        <v>0</v>
      </c>
      <c r="Y82" s="99">
        <f ca="1">MIN(MAX(T82-C82-IF(fw&gt;0,X82/fw*Irri_auto+E82/fw*Irri_man,0),0),TEW)</f>
        <v>0.282169725335158</v>
      </c>
      <c r="Z82" s="99">
        <f ca="1">MIN(MAX(U82-C82,0),TEW)</f>
        <v>0.0688392330441443</v>
      </c>
      <c r="AA82" s="99">
        <f ca="1">MIN(MAX(V82-C82-(X82*Irri_auto+E82*Irri_man),0),R82)</f>
        <v>0.761013370488987</v>
      </c>
      <c r="AB82" s="99">
        <f ca="1">MIN(MAX(W82+MIN(V82-C82-(X82*Irri_auto+E82*Irri_man),0),0),S82)</f>
        <v>3.98210046135919e-8</v>
      </c>
      <c r="AC82" s="99">
        <f ca="1">-MIN(W82+MIN(V82-C82-(X82*Irri_auto+E82*Irri_man),0),0)</f>
        <v>0</v>
      </c>
      <c r="AD82" s="39">
        <f ca="1">IF(((R82-AA82)/P82-((Wfc-Wwp)*Ze-Y82)/Ze)/Wfc*DiffE&lt;0,MAX(((R82-AA82)/P82-((Wfc-Wwp)*Ze-Y82)/Ze)/Wfc*DiffE,(R82*Ze-((Wfc-Wwp)*Ze-Y82-AA82)*P82)/(P82+Ze)-AA82),MIN(((R82-AA82)/P82-((Wfc-Wwp)*Ze-Y82)/Ze)/Wfc*DiffE,(R82*Ze-((Wfc-Wwp)*Ze-Y82-AA82)*P82)/(P82+Ze)-AA82))</f>
        <v>6.82319021336197e-10</v>
      </c>
      <c r="AE82" s="39">
        <f ca="1">IF(((R82-AA82)/P82-((Wfc-Wwp)*Ze-Z82)/Ze)/Wfc*DiffE&lt;0,MAX(((R82-AA82)/P82-((Wfc-Wwp)*Ze-Z82)/Ze)/Wfc*DiffE,(R82*Ze-((Wfc-Wwp)*Ze-Z82-AA82)*P82)/(P82+Ze)-AA82),MIN(((R82-AA82)/P82-((Wfc-Wwp)*Ze-Z82)/Ze)/Wfc*DiffE,(R82*Ze-((Wfc-Wwp)*Ze-Z82-AA82)*P82)/(P82+Ze)-AA82))</f>
        <v>-3.5842908244841e-9</v>
      </c>
      <c r="AF82" s="39">
        <f ca="1">IF(((S82-AB82)/Q82-(R82-AA82)/P82)/Wfc*DiffR&lt;0,MAX(((S82-AB82)/Q82-(R82-AA82)/P82)/Wfc*DiffR,(S82*P82-(R82-AA82-AB82)*Q82)/(P82+Q82)-AB82),MIN(((S82-AB82)/Q82-(R82-AA82)/P82)/Wfc*DiffR,(S82*P82-(R82-AA82-AB82)*Q82)/(P82+Q82)-AB82))</f>
        <v>4.96107505324847e-9</v>
      </c>
      <c r="AG82" s="99">
        <f ca="1">MIN(MAX(Y82+IF(AU82&gt;0,B82*AZ82/AU82,0)+BE82-AD82,0),TEW)</f>
        <v>0.402613953399355</v>
      </c>
      <c r="AH82" s="99">
        <f ca="1">MIN(MAX(Z82+IF(AV82&gt;0,B82*BA82/AV82,0)+BF82-AE82,0),TEW)</f>
        <v>0.15147390081189</v>
      </c>
      <c r="AI82" s="99">
        <f ca="1" t="shared" si="12"/>
        <v>0.938062408230342</v>
      </c>
      <c r="AJ82" s="99">
        <f ca="1" t="shared" si="13"/>
        <v>4.47820796668404e-8</v>
      </c>
      <c r="AK82" s="70">
        <f ca="1">IF((AU82+AV82)&gt;0,(TEW-(AG82*AU82+AH82*AV82)/(AU82+AV82))/TEW,(TEW-(AG82+AH82)/2)/TEW)</f>
        <v>0.987845616501152</v>
      </c>
      <c r="AL82" s="70">
        <f ca="1" t="shared" si="14"/>
        <v>0.981183800047983</v>
      </c>
      <c r="AM82" s="70">
        <f ca="1" t="shared" si="15"/>
        <v>0.999999998504758</v>
      </c>
      <c r="AN82" s="70">
        <f ca="1">Wwp+(Wfc-Wwp)*IF((AU82+AV82)&gt;0,(TEW-(AG82*AU82+AH82*AV82)/(AU82+AV82))/TEW,(TEW-(AG82+AH82)/2)/TEW)</f>
        <v>0.39841993014515</v>
      </c>
      <c r="AO82" s="70">
        <f ca="1">Wwp+(Wfc-Wwp)*(R82-AI82)/R82</f>
        <v>0.397553894006238</v>
      </c>
      <c r="AP82" s="70">
        <f ca="1">Wwp+(Wfc-Wwp)*(S82-AJ82)/S82</f>
        <v>0.399999999805619</v>
      </c>
      <c r="AQ82" s="70"/>
      <c r="AR82" s="70"/>
      <c r="AS82" s="70"/>
      <c r="AT82" s="70"/>
      <c r="AU82" s="70">
        <f ca="1">MIN((1-G82),fw)</f>
        <v>0.450666666666667</v>
      </c>
      <c r="AV82" s="70">
        <f ca="1" t="shared" si="16"/>
        <v>0</v>
      </c>
      <c r="AW82" s="70">
        <f ca="1">MIN((TEW-Y82)/(TEW-REW),1)</f>
        <v>0.126194002140993</v>
      </c>
      <c r="AX82" s="70">
        <f ca="1">MIN((TEW-Z82)/(TEW-REW),1)</f>
        <v>0.127013694852485</v>
      </c>
      <c r="AY82" s="70">
        <f ca="1">IF((AU82*(TEW-Y82))&gt;0,1/(1+((AV82*(TEW-Z82))/(AU82*(TEW-Y82)))),0)</f>
        <v>1</v>
      </c>
      <c r="AZ82" s="70">
        <f ca="1">MIN((AY82*AW82*(Kcmax-H82)),AU82*Kcmax)</f>
        <v>0.0669761476616478</v>
      </c>
      <c r="BA82" s="70">
        <f ca="1">MIN(((1-AY82)*AX82*(Kcmax-H82)),AV82*Kcmax)</f>
        <v>0</v>
      </c>
      <c r="BB82" s="70">
        <f ca="1" t="shared" si="17"/>
        <v>0.0172798460967051</v>
      </c>
      <c r="BC82" s="70">
        <f ca="1">MIN((R82-AA82)/(R82*(1-(p+0.04*(5-I81)))),1)</f>
        <v>1</v>
      </c>
      <c r="BD82" s="10">
        <f ca="1" t="shared" si="18"/>
        <v>0.159769196605724</v>
      </c>
      <c r="BE82" s="70">
        <f ca="1">MIN(IF((1-AA82/R82)&gt;0,(1-Y82/TEW)/(1-AA82/R82)*(Ze/P82)^0.6,0),1)*BC82*H82*B82</f>
        <v>0.082101374981637</v>
      </c>
      <c r="BF82" s="70">
        <f ca="1">MIN(IF((1-AA82/R82)&gt;0,(1-Z82/TEW)/(1-AA82/R82)*(Ze/P82)^0.6,0),1)*BC82*H82*B82</f>
        <v>0.0826346641834545</v>
      </c>
      <c r="BH82" s="10">
        <f ca="1" t="shared" si="19"/>
        <v>0.00204439236342112</v>
      </c>
      <c r="BI82" s="10">
        <f ca="1">IF(F82&lt;&gt;"",(Moy_Etobs-F82)^2,"")</f>
        <v>1.92268333361541</v>
      </c>
    </row>
    <row r="83" spans="1:61">
      <c r="A83" s="38">
        <v>39076</v>
      </c>
      <c r="B83" s="10">
        <v>0.26</v>
      </c>
      <c r="C83" s="39">
        <v>0</v>
      </c>
      <c r="D83">
        <v>0.565</v>
      </c>
      <c r="E83" s="39">
        <v>0</v>
      </c>
      <c r="F83" s="10">
        <v>0.252792</v>
      </c>
      <c r="G83" s="10">
        <f ca="1">MIN(MAX(IF(AND(Durpla&gt;ROW()-MATCH(NDVImax,INDEX(D:D,Lig_min,1):INDEX(D:D,Lig_max,1),0)-Lig_min+1,ROW()-MATCH(NDVImax,INDEX(D:D,Lig_min,1):INDEX(D:D,Lig_max,1),0)-Lig_min+1&gt;0,D83*a_fc+b_fc&gt;fc_fin),NDVImax*a_fc+b_fc,D83*a_fc+b_fc),0),1)</f>
        <v>0.553333333333333</v>
      </c>
      <c r="H83" s="55">
        <f>MIN(MAX(D83*a_kcb+b_kcb,0),Kcmax)</f>
        <v>0.623769630008426</v>
      </c>
      <c r="I83" s="70">
        <f ca="1" t="shared" si="11"/>
        <v>0.179382635172186</v>
      </c>
      <c r="O83" s="55"/>
      <c r="P83" s="35">
        <f ca="1">IF(ROW()-MATCH(NDVImax,INDEX(D:D,Lig_min,1):INDEX(D:D,Lig_max,1),0)-Lig_min+1&gt;0,MAX(MIN(Zr_min+MAX(INDEX(G:G,Lig_min,1):INDEX(G:G,Lig_max,1))/MAX(MAX(INDEX(G:G,Lig_min,1):INDEX(G:G,Lig_max,1)),Max_fc_pour_Zrmax)*(Zr_max-Zr_min),Zr_max),Ze+0.001),MAX(MIN(Zr_min+G83/MAX(MAX(INDEX(G:G,Lig_min,1):INDEX(G:G,Lig_max,1)),Max_fc_pour_Zrmax)*(Zr_max-Zr_min),Zr_max),Ze+0.001))</f>
        <v>385.374358561767</v>
      </c>
      <c r="Q83" s="35">
        <f ca="1">IF(Z_sol&gt;0,Z_sol-P83,0.1)</f>
        <v>228.500192502667</v>
      </c>
      <c r="R83" s="35">
        <f ca="1">(Wfc-Wwp)*P83</f>
        <v>50.0986666130297</v>
      </c>
      <c r="S83" s="35">
        <f ca="1">(Wfc-Wwp)*Q83</f>
        <v>29.7050250253467</v>
      </c>
      <c r="T83" s="99">
        <f ca="1" t="shared" si="20"/>
        <v>0.402613953399355</v>
      </c>
      <c r="U83" s="99">
        <f ca="1" t="shared" si="21"/>
        <v>0.15147390081189</v>
      </c>
      <c r="V83" s="99">
        <f ca="1">IF(P83&gt;P82,IF(Q83&gt;1,MAX(AI82+(Wfc-Wwp)*(P83-P82)*AJ82/S82,0),AI82/P82*P83),MAX(AI82+(Wfc-Wwp)*(P83-P82)*AI82/R82,0))</f>
        <v>0.938062408596211</v>
      </c>
      <c r="W83" s="99">
        <f ca="1">IF(S83&gt;1,IF(P83&gt;P82,MAX(AJ82-(Wfc-Wwp)*(P83-P82)*AJ82/S82,0),MAX(AJ82-(Wfc-Wwp)*(P83-P82)*AI82/R82,0)),0)</f>
        <v>4.44162100888585e-8</v>
      </c>
      <c r="X83" s="99">
        <f ca="1">IF(AND(OR(AND(dec_vide_TAW&lt;0,V83&gt;R83*(p+0.04*(5-I82))),AND(dec_vide_TAW&gt;0,V83&gt;R83*dec_vide_TAW)),H83&gt;MAX(INDEX(H:H,Lig_min,1):INDEX(H:H,ROW(X83),1))*Kcbmax_stop_irrig*IF(ROW(X83)-lig_kcbmax&gt;0,1,0),MIN(INDEX(H:H,ROW(X83),1):INDEX(H:H,lig_kcbmax,1))&gt;Kcbmin_start_irrig),MIN(MAX(V83-E83*Irri_man-C83,0),Lame_max),0)</f>
        <v>0</v>
      </c>
      <c r="Y83" s="99">
        <f ca="1">MIN(MAX(T83-C83-IF(fw&gt;0,X83/fw*Irri_auto+E83/fw*Irri_man,0),0),TEW)</f>
        <v>0.402613953399355</v>
      </c>
      <c r="Z83" s="99">
        <f ca="1">MIN(MAX(U83-C83,0),TEW)</f>
        <v>0.15147390081189</v>
      </c>
      <c r="AA83" s="99">
        <f ca="1">MIN(MAX(V83-C83-(X83*Irri_auto+E83*Irri_man),0),R83)</f>
        <v>0.938062408596211</v>
      </c>
      <c r="AB83" s="99">
        <f ca="1">MIN(MAX(W83+MIN(V83-C83-(X83*Irri_auto+E83*Irri_man),0),0),S83)</f>
        <v>4.44162100888585e-8</v>
      </c>
      <c r="AC83" s="99">
        <f ca="1">-MIN(W83+MIN(V83-C83-(X83*Irri_auto+E83*Irri_man),0),0)</f>
        <v>0</v>
      </c>
      <c r="AD83" s="39">
        <f ca="1">IF(((R83-AA83)/P83-((Wfc-Wwp)*Ze-Y83)/Ze)/Wfc*DiffE&lt;0,MAX(((R83-AA83)/P83-((Wfc-Wwp)*Ze-Y83)/Ze)/Wfc*DiffE,(R83*Ze-((Wfc-Wwp)*Ze-Y83-AA83)*P83)/(P83+Ze)-AA83),MIN(((R83-AA83)/P83-((Wfc-Wwp)*Ze-Y83)/Ze)/Wfc*DiffE,(R83*Ze-((Wfc-Wwp)*Ze-Y83-AA83)*P83)/(P83+Ze)-AA83))</f>
        <v>1.96688192261721e-9</v>
      </c>
      <c r="AE83" s="39">
        <f ca="1">IF(((R83-AA83)/P83-((Wfc-Wwp)*Ze-Z83)/Ze)/Wfc*DiffE&lt;0,MAX(((R83-AA83)/P83-((Wfc-Wwp)*Ze-Z83)/Ze)/Wfc*DiffE,(R83*Ze-((Wfc-Wwp)*Ze-Z83-AA83)*P83)/(P83+Ze)-AA83),MIN(((R83-AA83)/P83-((Wfc-Wwp)*Ze-Z83)/Ze)/Wfc*DiffE,(R83*Ze-((Wfc-Wwp)*Ze-Z83-AA83)*P83)/(P83+Ze)-AA83))</f>
        <v>-3.05591912913211e-9</v>
      </c>
      <c r="AF83" s="39">
        <f ca="1">IF(((S83-AB83)/Q83-(R83-AA83)/P83)/Wfc*DiffR&lt;0,MAX(((S83-AB83)/Q83-(R83-AA83)/P83)/Wfc*DiffR,(S83*P83-(R83-AA83-AB83)*Q83)/(P83+Q83)-AB83),MIN(((S83-AB83)/Q83-(R83-AA83)/P83)/Wfc*DiffR,(S83*P83-(R83-AA83-AB83)*Q83)/(P83+Q83)-AB83))</f>
        <v>6.08539665941613e-9</v>
      </c>
      <c r="AG83" s="99">
        <f ca="1">MIN(MAX(Y83+IF(AU83&gt;0,B83*AZ83/AU83,0)+BE83-AD83,0),TEW)</f>
        <v>0.524210034568566</v>
      </c>
      <c r="AH83" s="99">
        <f ca="1">MIN(MAX(Z83+IF(AV83&gt;0,B83*BA83/AV83,0)+BF83-AE83,0),TEW)</f>
        <v>0.235194507919852</v>
      </c>
      <c r="AI83" s="99">
        <f ca="1" t="shared" si="12"/>
        <v>1.117445037683</v>
      </c>
      <c r="AJ83" s="99">
        <f ca="1" t="shared" si="13"/>
        <v>5.05016067482746e-8</v>
      </c>
      <c r="AK83" s="70">
        <f ca="1">IF((AU83+AV83)&gt;0,(TEW-(AG83*AU83+AH83*AV83)/(AU83+AV83))/TEW,(TEW-(AG83+AH83)/2)/TEW)</f>
        <v>0.984174791409251</v>
      </c>
      <c r="AL83" s="70">
        <f ca="1" t="shared" si="14"/>
        <v>0.977695114197064</v>
      </c>
      <c r="AM83" s="70">
        <f ca="1" t="shared" si="15"/>
        <v>0.999999998299897</v>
      </c>
      <c r="AN83" s="70">
        <f ca="1">Wwp+(Wfc-Wwp)*IF((AU83+AV83)&gt;0,(TEW-(AG83*AU83+AH83*AV83)/(AU83+AV83))/TEW,(TEW-(AG83+AH83)/2)/TEW)</f>
        <v>0.397942722883203</v>
      </c>
      <c r="AO83" s="70">
        <f ca="1">Wwp+(Wfc-Wwp)*(R83-AI83)/R83</f>
        <v>0.397100364845618</v>
      </c>
      <c r="AP83" s="70">
        <f ca="1">Wwp+(Wfc-Wwp)*(S83-AJ83)/S83</f>
        <v>0.399999999778987</v>
      </c>
      <c r="AQ83" s="70"/>
      <c r="AR83" s="70"/>
      <c r="AS83" s="70"/>
      <c r="AT83" s="70"/>
      <c r="AU83" s="70">
        <f ca="1">MIN((1-G83),fw)</f>
        <v>0.446666666666667</v>
      </c>
      <c r="AV83" s="70">
        <f ca="1" t="shared" si="16"/>
        <v>0</v>
      </c>
      <c r="AW83" s="70">
        <f ca="1">MIN((TEW-Y83)/(TEW-REW),1)</f>
        <v>0.125731211965875</v>
      </c>
      <c r="AX83" s="70">
        <f ca="1">MIN((TEW-Z83)/(TEW-REW),1)</f>
        <v>0.126696182648026</v>
      </c>
      <c r="AY83" s="70">
        <f ca="1">IF((AU83*(TEW-Y83))&gt;0,1/(1+((AV83*(TEW-Z83))/(AU83*(TEW-Y83)))),0)</f>
        <v>1</v>
      </c>
      <c r="AZ83" s="70">
        <f ca="1">MIN((AY83*AW83*(Kcmax-H83)),AU83*Kcmax)</f>
        <v>0.0661635821922912</v>
      </c>
      <c r="BA83" s="70">
        <f ca="1">MIN(((1-AY83)*AX83*(Kcmax-H83)),AV83*Kcmax)</f>
        <v>0</v>
      </c>
      <c r="BB83" s="70">
        <f ca="1" t="shared" si="17"/>
        <v>0.0172025313699957</v>
      </c>
      <c r="BC83" s="70">
        <f ca="1">MIN((R83-AA83)/(R83*(1-(p+0.04*(5-I82)))),1)</f>
        <v>1</v>
      </c>
      <c r="BD83" s="10">
        <f ca="1" t="shared" si="18"/>
        <v>0.162180103802191</v>
      </c>
      <c r="BE83" s="70">
        <f ca="1">MIN(IF((1-AA83/R83)&gt;0,(1-Y83/TEW)/(1-AA83/R83)*(Ze/P83)^0.6,0),1)*BC83*H83*B83</f>
        <v>0.0830829532032672</v>
      </c>
      <c r="BF83" s="70">
        <f ca="1">MIN(IF((1-AA83/R83)&gt;0,(1-Z83/TEW)/(1-AA83/R83)*(Ze/P83)^0.6,0),1)*BC83*H83*B83</f>
        <v>0.0837206040520432</v>
      </c>
      <c r="BH83" s="10">
        <f ca="1" t="shared" si="19"/>
        <v>0.00538893484442304</v>
      </c>
      <c r="BI83" s="10">
        <f ca="1">IF(F83&lt;&gt;"",(Moy_Etobs-F83)^2,"")</f>
        <v>1.83895451939057</v>
      </c>
    </row>
    <row r="84" spans="1:61">
      <c r="A84" s="38">
        <v>39077</v>
      </c>
      <c r="B84" s="10">
        <v>0.226</v>
      </c>
      <c r="C84" s="39">
        <v>0</v>
      </c>
      <c r="D84">
        <v>0.568</v>
      </c>
      <c r="E84" s="39">
        <v>0</v>
      </c>
      <c r="F84" s="10">
        <v>0.3526614</v>
      </c>
      <c r="G84" s="10">
        <f ca="1">MIN(MAX(IF(AND(Durpla&gt;ROW()-MATCH(NDVImax,INDEX(D:D,Lig_min,1):INDEX(D:D,Lig_max,1),0)-Lig_min+1,ROW()-MATCH(NDVImax,INDEX(D:D,Lig_min,1):INDEX(D:D,Lig_max,1),0)-Lig_min+1&gt;0,D84*a_fc+b_fc&gt;fc_fin),NDVImax*a_fc+b_fc,D84*a_fc+b_fc),0),1)</f>
        <v>0.557333333333333</v>
      </c>
      <c r="H84" s="55">
        <f>MIN(MAX(D84*a_kcb+b_kcb,0),Kcmax)</f>
        <v>0.628278808056679</v>
      </c>
      <c r="I84" s="70">
        <f ca="1" t="shared" si="11"/>
        <v>0.156760761789532</v>
      </c>
      <c r="O84" s="55"/>
      <c r="P84" s="35">
        <f ca="1">IF(ROW()-MATCH(NDVImax,INDEX(D:D,Lig_min,1):INDEX(D:D,Lig_max,1),0)-Lig_min+1&gt;0,MAX(MIN(Zr_min+MAX(INDEX(G:G,Lig_min,1):INDEX(G:G,Lig_max,1))/MAX(MAX(INDEX(G:G,Lig_min,1):INDEX(G:G,Lig_max,1)),Max_fc_pour_Zrmax)*(Zr_max-Zr_min),Zr_max),Ze+0.001),MAX(MIN(Zr_min+G84/MAX(MAX(INDEX(G:G,Lig_min,1):INDEX(G:G,Lig_max,1)),Max_fc_pour_Zrmax)*(Zr_max-Zr_min),Zr_max),Ze+0.001))</f>
        <v>387.256582840527</v>
      </c>
      <c r="Q84" s="35">
        <f ca="1">IF(Z_sol&gt;0,Z_sol-P84,0.1)</f>
        <v>226.617968223907</v>
      </c>
      <c r="R84" s="35">
        <f ca="1">(Wfc-Wwp)*P84</f>
        <v>50.3433557692685</v>
      </c>
      <c r="S84" s="35">
        <f ca="1">(Wfc-Wwp)*Q84</f>
        <v>29.460335869108</v>
      </c>
      <c r="T84" s="99">
        <f ca="1" t="shared" si="20"/>
        <v>0.524210034568566</v>
      </c>
      <c r="U84" s="99">
        <f ca="1" t="shared" si="21"/>
        <v>0.235194507919852</v>
      </c>
      <c r="V84" s="99">
        <f ca="1">IF(P84&gt;P83,IF(Q84&gt;1,MAX(AI83+(Wfc-Wwp)*(P84-P83)*AJ83/S83,0),AI83/P83*P84),MAX(AI83+(Wfc-Wwp)*(P84-P83)*AI83/R83,0))</f>
        <v>1.117445038099</v>
      </c>
      <c r="W84" s="99">
        <f ca="1">IF(S84&gt;1,IF(P84&gt;P83,MAX(AJ83-(Wfc-Wwp)*(P84-P83)*AJ83/S83,0),MAX(AJ83-(Wfc-Wwp)*(P84-P83)*AI83/R83,0)),0)</f>
        <v>5.00856099418961e-8</v>
      </c>
      <c r="X84" s="99">
        <f ca="1">IF(AND(OR(AND(dec_vide_TAW&lt;0,V84&gt;R84*(p+0.04*(5-I83))),AND(dec_vide_TAW&gt;0,V84&gt;R84*dec_vide_TAW)),H84&gt;MAX(INDEX(H:H,Lig_min,1):INDEX(H:H,ROW(X84),1))*Kcbmax_stop_irrig*IF(ROW(X84)-lig_kcbmax&gt;0,1,0),MIN(INDEX(H:H,ROW(X84),1):INDEX(H:H,lig_kcbmax,1))&gt;Kcbmin_start_irrig),MIN(MAX(V84-E84*Irri_man-C84,0),Lame_max),0)</f>
        <v>0</v>
      </c>
      <c r="Y84" s="99">
        <f ca="1">MIN(MAX(T84-C84-IF(fw&gt;0,X84/fw*Irri_auto+E84/fw*Irri_man,0),0),TEW)</f>
        <v>0.524210034568566</v>
      </c>
      <c r="Z84" s="99">
        <f ca="1">MIN(MAX(U84-C84,0),TEW)</f>
        <v>0.235194507919852</v>
      </c>
      <c r="AA84" s="99">
        <f ca="1">MIN(MAX(V84-C84-(X84*Irri_auto+E84*Irri_man),0),R84)</f>
        <v>1.117445038099</v>
      </c>
      <c r="AB84" s="99">
        <f ca="1">MIN(MAX(W84+MIN(V84-C84-(X84*Irri_auto+E84*Irri_man),0),0),S84)</f>
        <v>5.00856099418961e-8</v>
      </c>
      <c r="AC84" s="99">
        <f ca="1">-MIN(W84+MIN(V84-C84-(X84*Irri_auto+E84*Irri_man),0),0)</f>
        <v>0</v>
      </c>
      <c r="AD84" s="39">
        <f ca="1">IF(((R84-AA84)/P84-((Wfc-Wwp)*Ze-Y84)/Ze)/Wfc*DiffE&lt;0,MAX(((R84-AA84)/P84-((Wfc-Wwp)*Ze-Y84)/Ze)/Wfc*DiffE,(R84*Ze-((Wfc-Wwp)*Ze-Y84-AA84)*P84)/(P84+Ze)-AA84),MIN(((R84-AA84)/P84-((Wfc-Wwp)*Ze-Y84)/Ze)/Wfc*DiffE,(R84*Ze-((Wfc-Wwp)*Ze-Y84-AA84)*P84)/(P84+Ze)-AA84))</f>
        <v>3.27034631410976e-9</v>
      </c>
      <c r="AE84" s="39">
        <f ca="1">IF(((R84-AA84)/P84-((Wfc-Wwp)*Ze-Z84)/Ze)/Wfc*DiffE&lt;0,MAX(((R84-AA84)/P84-((Wfc-Wwp)*Ze-Z84)/Ze)/Wfc*DiffE,(R84*Ze-((Wfc-Wwp)*Ze-Z84-AA84)*P84)/(P84+Ze)-AA84),MIN(((R84-AA84)/P84-((Wfc-Wwp)*Ze-Z84)/Ze)/Wfc*DiffE,(R84*Ze-((Wfc-Wwp)*Ze-Z84-AA84)*P84)/(P84+Ze)-AA84))</f>
        <v>-2.50996421886453e-9</v>
      </c>
      <c r="AF84" s="39">
        <f ca="1">IF(((S84-AB84)/Q84-(R84-AA84)/P84)/Wfc*DiffR&lt;0,MAX(((S84-AB84)/Q84-(R84-AA84)/P84)/Wfc*DiffR,(S84*P84-(R84-AA84-AB84)*Q84)/(P84+Q84)-AB84),MIN(((S84-AB84)/Q84-(R84-AA84)/P84)/Wfc*DiffR,(S84*P84-(R84-AA84-AB84)*Q84)/(P84+Q84)-AB84))</f>
        <v>7.21385382472808e-9</v>
      </c>
      <c r="AG84" s="99">
        <f ca="1">MIN(MAX(Y84+IF(AU84&gt;0,B84*AZ84/AU84,0)+BE84-AD84,0),TEW)</f>
        <v>0.630090493097749</v>
      </c>
      <c r="AH84" s="99">
        <f ca="1">MIN(MAX(Z84+IF(AV84&gt;0,B84*BA84/AV84,0)+BF84-AE84,0),TEW)</f>
        <v>0.308352437683914</v>
      </c>
      <c r="AI84" s="99">
        <f ca="1" t="shared" si="12"/>
        <v>1.27420579267468</v>
      </c>
      <c r="AJ84" s="99">
        <f ca="1" t="shared" si="13"/>
        <v>5.72994637666242e-8</v>
      </c>
      <c r="AK84" s="70">
        <f ca="1">IF((AU84+AV84)&gt;0,(TEW-(AG84*AU84+AH84*AV84)/(AU84+AV84))/TEW,(TEW-(AG84+AH84)/2)/TEW)</f>
        <v>0.98097840020837</v>
      </c>
      <c r="AL84" s="70">
        <f ca="1" t="shared" si="14"/>
        <v>0.974689692945489</v>
      </c>
      <c r="AM84" s="70">
        <f ca="1" t="shared" si="15"/>
        <v>0.99999999805503</v>
      </c>
      <c r="AN84" s="70">
        <f ca="1">Wwp+(Wfc-Wwp)*IF((AU84+AV84)&gt;0,(TEW-(AG84*AU84+AH84*AV84)/(AU84+AV84))/TEW,(TEW-(AG84+AH84)/2)/TEW)</f>
        <v>0.397527192027088</v>
      </c>
      <c r="AO84" s="70">
        <f ca="1">Wwp+(Wfc-Wwp)*(R84-AI84)/R84</f>
        <v>0.396709660082914</v>
      </c>
      <c r="AP84" s="70">
        <f ca="1">Wwp+(Wfc-Wwp)*(S84-AJ84)/S84</f>
        <v>0.399999999747154</v>
      </c>
      <c r="AQ84" s="70"/>
      <c r="AR84" s="70"/>
      <c r="AS84" s="70"/>
      <c r="AT84" s="70"/>
      <c r="AU84" s="70">
        <f ca="1">MIN((1-G84),fw)</f>
        <v>0.442666666666667</v>
      </c>
      <c r="AV84" s="70">
        <f ca="1" t="shared" si="16"/>
        <v>0</v>
      </c>
      <c r="AW84" s="70">
        <f ca="1">MIN((TEW-Y84)/(TEW-REW),1)</f>
        <v>0.125263995955589</v>
      </c>
      <c r="AX84" s="70">
        <f ca="1">MIN((TEW-Z84)/(TEW-REW),1)</f>
        <v>0.126374497872862</v>
      </c>
      <c r="AY84" s="70">
        <f ca="1">IF((AU84*(TEW-Y84))&gt;0,1/(1+((AV84*(TEW-Z84))/(AU84*(TEW-Y84)))),0)</f>
        <v>1</v>
      </c>
      <c r="AZ84" s="70">
        <f ca="1">MIN((AY84*AW84*(Kcmax-H84)),AU84*Kcmax)</f>
        <v>0.0653528812775334</v>
      </c>
      <c r="BA84" s="70">
        <f ca="1">MIN(((1-AY84)*AX84*(Kcmax-H84)),AV84*Kcmax)</f>
        <v>0</v>
      </c>
      <c r="BB84" s="70">
        <f ca="1" t="shared" si="17"/>
        <v>0.0147697511687225</v>
      </c>
      <c r="BC84" s="70">
        <f ca="1">MIN((R84-AA84)/(R84*(1-(p+0.04*(5-I83)))),1)</f>
        <v>1</v>
      </c>
      <c r="BD84" s="10">
        <f ca="1" t="shared" si="18"/>
        <v>0.14199101062081</v>
      </c>
      <c r="BE84" s="70">
        <f ca="1">MIN(IF((1-AA84/R84)&gt;0,(1-Y84/TEW)/(1-AA84/R84)*(Ze/P84)^0.6,0),1)*BC84*H84*B84</f>
        <v>0.0725150600629568</v>
      </c>
      <c r="BF84" s="70">
        <f ca="1">MIN(IF((1-AA84/R84)&gt;0,(1-Z84/TEW)/(1-AA84/R84)*(Ze/P84)^0.6,0),1)*BC84*H84*B84</f>
        <v>0.0731579272540979</v>
      </c>
      <c r="BH84" s="10">
        <f ca="1" t="shared" si="19"/>
        <v>0.0383770600512687</v>
      </c>
      <c r="BI84" s="10">
        <f ca="1">IF(F84&lt;&gt;"",(Moy_Etobs-F84)^2,"")</f>
        <v>1.57806651017195</v>
      </c>
    </row>
    <row r="85" spans="1:61">
      <c r="A85" s="38">
        <v>39078</v>
      </c>
      <c r="B85" s="10">
        <v>0.255</v>
      </c>
      <c r="C85" s="39">
        <v>0</v>
      </c>
      <c r="D85">
        <v>0.571</v>
      </c>
      <c r="E85" s="39">
        <v>0</v>
      </c>
      <c r="F85" s="10">
        <v>0.3329748</v>
      </c>
      <c r="G85" s="10">
        <f ca="1">MIN(MAX(IF(AND(Durpla&gt;ROW()-MATCH(NDVImax,INDEX(D:D,Lig_min,1):INDEX(D:D,Lig_max,1),0)-Lig_min+1,ROW()-MATCH(NDVImax,INDEX(D:D,Lig_min,1):INDEX(D:D,Lig_max,1),0)-Lig_min+1&gt;0,D85*a_fc+b_fc&gt;fc_fin),NDVImax*a_fc+b_fc,D85*a_fc+b_fc),0),1)</f>
        <v>0.561333333333333</v>
      </c>
      <c r="H85" s="55">
        <f>MIN(MAX(D85*a_kcb+b_kcb,0),Kcmax)</f>
        <v>0.632787986104933</v>
      </c>
      <c r="I85" s="70">
        <f ca="1" t="shared" si="11"/>
        <v>0.177828231030149</v>
      </c>
      <c r="O85" s="55"/>
      <c r="P85" s="35">
        <f ca="1">IF(ROW()-MATCH(NDVImax,INDEX(D:D,Lig_min,1):INDEX(D:D,Lig_max,1),0)-Lig_min+1&gt;0,MAX(MIN(Zr_min+MAX(INDEX(G:G,Lig_min,1):INDEX(G:G,Lig_max,1))/MAX(MAX(INDEX(G:G,Lig_min,1):INDEX(G:G,Lig_max,1)),Max_fc_pour_Zrmax)*(Zr_max-Zr_min),Zr_max),Ze+0.001),MAX(MIN(Zr_min+G85/MAX(MAX(INDEX(G:G,Lig_min,1):INDEX(G:G,Lig_max,1)),Max_fc_pour_Zrmax)*(Zr_max-Zr_min),Zr_max),Ze+0.001))</f>
        <v>389.138807119286</v>
      </c>
      <c r="Q85" s="35">
        <f ca="1">IF(Z_sol&gt;0,Z_sol-P85,0.1)</f>
        <v>224.735743945148</v>
      </c>
      <c r="R85" s="35">
        <f ca="1">(Wfc-Wwp)*P85</f>
        <v>50.5880449255072</v>
      </c>
      <c r="S85" s="35">
        <f ca="1">(Wfc-Wwp)*Q85</f>
        <v>29.2156467128692</v>
      </c>
      <c r="T85" s="99">
        <f ca="1" t="shared" si="20"/>
        <v>0.630090493097749</v>
      </c>
      <c r="U85" s="99">
        <f ca="1" t="shared" si="21"/>
        <v>0.308352437683914</v>
      </c>
      <c r="V85" s="99">
        <f ca="1">IF(P85&gt;P84,IF(Q85&gt;1,MAX(AI84+(Wfc-Wwp)*(P85-P84)*AJ84/S84,0),AI84/P84*P85),MAX(AI84+(Wfc-Wwp)*(P85-P84)*AI84/R84,0))</f>
        <v>1.27420579315059</v>
      </c>
      <c r="W85" s="99">
        <f ca="1">IF(S85&gt;1,IF(P85&gt;P84,MAX(AJ84-(Wfc-Wwp)*(P85-P84)*AJ84/S84,0),MAX(AJ84-(Wfc-Wwp)*(P85-P84)*AI84/R84,0)),0)</f>
        <v>5.68235507456633e-8</v>
      </c>
      <c r="X85" s="99">
        <f ca="1">IF(AND(OR(AND(dec_vide_TAW&lt;0,V85&gt;R85*(p+0.04*(5-I84))),AND(dec_vide_TAW&gt;0,V85&gt;R85*dec_vide_TAW)),H85&gt;MAX(INDEX(H:H,Lig_min,1):INDEX(H:H,ROW(X85),1))*Kcbmax_stop_irrig*IF(ROW(X85)-lig_kcbmax&gt;0,1,0),MIN(INDEX(H:H,ROW(X85),1):INDEX(H:H,lig_kcbmax,1))&gt;Kcbmin_start_irrig),MIN(MAX(V85-E85*Irri_man-C85,0),Lame_max),0)</f>
        <v>0</v>
      </c>
      <c r="Y85" s="99">
        <f ca="1">MIN(MAX(T85-C85-IF(fw&gt;0,X85/fw*Irri_auto+E85/fw*Irri_man,0),0),TEW)</f>
        <v>0.630090493097749</v>
      </c>
      <c r="Z85" s="99">
        <f ca="1">MIN(MAX(U85-C85,0),TEW)</f>
        <v>0.308352437683914</v>
      </c>
      <c r="AA85" s="99">
        <f ca="1">MIN(MAX(V85-C85-(X85*Irri_auto+E85*Irri_man),0),R85)</f>
        <v>1.27420579315059</v>
      </c>
      <c r="AB85" s="99">
        <f ca="1">MIN(MAX(W85+MIN(V85-C85-(X85*Irri_auto+E85*Irri_man),0),0),S85)</f>
        <v>5.68235507456633e-8</v>
      </c>
      <c r="AC85" s="99">
        <f ca="1">-MIN(W85+MIN(V85-C85-(X85*Irri_auto+E85*Irri_man),0),0)</f>
        <v>0</v>
      </c>
      <c r="AD85" s="39">
        <f ca="1">IF(((R85-AA85)/P85-((Wfc-Wwp)*Ze-Y85)/Ze)/Wfc*DiffE&lt;0,MAX(((R85-AA85)/P85-((Wfc-Wwp)*Ze-Y85)/Ze)/Wfc*DiffE,(R85*Ze-((Wfc-Wwp)*Ze-Y85-AA85)*P85)/(P85+Ze)-AA85),MIN(((R85-AA85)/P85-((Wfc-Wwp)*Ze-Y85)/Ze)/Wfc*DiffE,(R85*Ze-((Wfc-Wwp)*Ze-Y85-AA85)*P85)/(P85+Ze)-AA85))</f>
        <v>4.41574765330969e-9</v>
      </c>
      <c r="AE85" s="39">
        <f ca="1">IF(((R85-AA85)/P85-((Wfc-Wwp)*Ze-Z85)/Ze)/Wfc*DiffE&lt;0,MAX(((R85-AA85)/P85-((Wfc-Wwp)*Ze-Z85)/Ze)/Wfc*DiffE,(R85*Ze-((Wfc-Wwp)*Ze-Z85-AA85)*P85)/(P85+Ze)-AA85),MIN(((R85-AA85)/P85-((Wfc-Wwp)*Ze-Z85)/Ze)/Wfc*DiffE,(R85*Ze-((Wfc-Wwp)*Ze-Z85-AA85)*P85)/(P85+Ze)-AA85))</f>
        <v>-2.01901345496698e-9</v>
      </c>
      <c r="AF85" s="39">
        <f ca="1">IF(((S85-AB85)/Q85-(R85-AA85)/P85)/Wfc*DiffR&lt;0,MAX(((S85-AB85)/Q85-(R85-AA85)/P85)/Wfc*DiffR,(S85*P85-(R85-AA85-AB85)*Q85)/(P85+Q85)-AB85),MIN(((S85-AB85)/Q85-(R85-AA85)/P85)/Wfc*DiffR,(S85*P85-(R85-AA85-AB85)*Q85)/(P85+Q85)-AB85))</f>
        <v>8.18606157653008e-9</v>
      </c>
      <c r="AG85" s="99">
        <f ca="1">MIN(MAX(Y85+IF(AU85&gt;0,B85*AZ85/AU85,0)+BE85-AD85,0),TEW)</f>
        <v>0.749782306136831</v>
      </c>
      <c r="AH85" s="99">
        <f ca="1">MIN(MAX(Z85+IF(AV85&gt;0,B85*BA85/AV85,0)+BF85-AE85,0),TEW)</f>
        <v>0.391318237731718</v>
      </c>
      <c r="AI85" s="99">
        <f ca="1" t="shared" si="12"/>
        <v>1.45203401599468</v>
      </c>
      <c r="AJ85" s="99">
        <f ca="1" t="shared" si="13"/>
        <v>6.50096123221934e-8</v>
      </c>
      <c r="AK85" s="70">
        <f ca="1">IF((AU85+AV85)&gt;0,(TEW-(AG85*AU85+AH85*AV85)/(AU85+AV85))/TEW,(TEW-(AG85+AH85)/2)/TEW)</f>
        <v>0.977365062456247</v>
      </c>
      <c r="AL85" s="70">
        <f ca="1" t="shared" si="14"/>
        <v>0.971296893996737</v>
      </c>
      <c r="AM85" s="70">
        <f ca="1" t="shared" si="15"/>
        <v>0.999999997774836</v>
      </c>
      <c r="AN85" s="70">
        <f ca="1">Wwp+(Wfc-Wwp)*IF((AU85+AV85)&gt;0,(TEW-(AG85*AU85+AH85*AV85)/(AU85+AV85))/TEW,(TEW-(AG85+AH85)/2)/TEW)</f>
        <v>0.397057458119312</v>
      </c>
      <c r="AO85" s="70">
        <f ca="1">Wwp+(Wfc-Wwp)*(R85-AI85)/R85</f>
        <v>0.396268596219576</v>
      </c>
      <c r="AP85" s="70">
        <f ca="1">Wwp+(Wfc-Wwp)*(S85-AJ85)/S85</f>
        <v>0.399999999710729</v>
      </c>
      <c r="AQ85" s="70"/>
      <c r="AR85" s="70"/>
      <c r="AS85" s="70"/>
      <c r="AT85" s="70"/>
      <c r="AU85" s="70">
        <f ca="1">MIN((1-G85),fw)</f>
        <v>0.438666666666667</v>
      </c>
      <c r="AV85" s="70">
        <f ca="1" t="shared" si="16"/>
        <v>0</v>
      </c>
      <c r="AW85" s="70">
        <f ca="1">MIN((TEW-Y85)/(TEW-REW),1)</f>
        <v>0.124857165036982</v>
      </c>
      <c r="AX85" s="70">
        <f ca="1">MIN((TEW-Z85)/(TEW-REW),1)</f>
        <v>0.126093398714597</v>
      </c>
      <c r="AY85" s="70">
        <f ca="1">IF((AU85*(TEW-Y85))&gt;0,1/(1+((AV85*(TEW-Z85))/(AU85*(TEW-Y85)))),0)</f>
        <v>1</v>
      </c>
      <c r="AZ85" s="70">
        <f ca="1">MIN((AY85*AW85*(Kcmax-H85)),AU85*Kcmax)</f>
        <v>0.064577625778006</v>
      </c>
      <c r="BA85" s="70">
        <f ca="1">MIN(((1-AY85)*AX85*(Kcmax-H85)),AV85*Kcmax)</f>
        <v>0</v>
      </c>
      <c r="BB85" s="70">
        <f ca="1" t="shared" si="17"/>
        <v>0.0164672945733915</v>
      </c>
      <c r="BC85" s="70">
        <f ca="1">MIN((R85-AA85)/(R85*(1-(p+0.04*(5-I84)))),1)</f>
        <v>1</v>
      </c>
      <c r="BD85" s="10">
        <f ca="1" t="shared" si="18"/>
        <v>0.161360936456758</v>
      </c>
      <c r="BE85" s="70">
        <f ca="1">MIN(IF((1-AA85/R85)&gt;0,(1-Y85/TEW)/(1-AA85/R85)*(Ze/P85)^0.6,0),1)*BC85*H85*B85</f>
        <v>0.0821523921355482</v>
      </c>
      <c r="BF85" s="70">
        <f ca="1">MIN(IF((1-AA85/R85)&gt;0,(1-Z85/TEW)/(1-AA85/R85)*(Ze/P85)^0.6,0),1)*BC85*H85*B85</f>
        <v>0.0829657980287904</v>
      </c>
      <c r="BH85" s="10">
        <f ca="1" t="shared" si="19"/>
        <v>0.0240704578631166</v>
      </c>
      <c r="BI85" s="10">
        <f ca="1">IF(F85&lt;&gt;"",(Moy_Etobs-F85)^2,"")</f>
        <v>1.62791512613263</v>
      </c>
    </row>
    <row r="86" spans="1:61">
      <c r="A86" s="38">
        <v>39079</v>
      </c>
      <c r="B86" s="10">
        <v>0.299</v>
      </c>
      <c r="C86" s="39">
        <v>0.198</v>
      </c>
      <c r="D86">
        <v>0.575</v>
      </c>
      <c r="E86" s="39">
        <v>0</v>
      </c>
      <c r="F86"/>
      <c r="G86" s="10">
        <f ca="1">MIN(MAX(IF(AND(Durpla&gt;ROW()-MATCH(NDVImax,INDEX(D:D,Lig_min,1):INDEX(D:D,Lig_max,1),0)-Lig_min+1,ROW()-MATCH(NDVImax,INDEX(D:D,Lig_min,1):INDEX(D:D,Lig_max,1),0)-Lig_min+1&gt;0,D86*a_fc+b_fc&gt;fc_fin),NDVImax*a_fc+b_fc,D86*a_fc+b_fc),0),1)</f>
        <v>0.566666666666667</v>
      </c>
      <c r="H86" s="55">
        <f>MIN(MAX(D86*a_kcb+b_kcb,0),Kcmax)</f>
        <v>0.638800223502605</v>
      </c>
      <c r="I86" s="70">
        <f ca="1" t="shared" si="11"/>
        <v>0.210131516726873</v>
      </c>
      <c r="O86" s="55"/>
      <c r="P86" s="35">
        <f ca="1">IF(ROW()-MATCH(NDVImax,INDEX(D:D,Lig_min,1):INDEX(D:D,Lig_max,1),0)-Lig_min+1&gt;0,MAX(MIN(Zr_min+MAX(INDEX(G:G,Lig_min,1):INDEX(G:G,Lig_max,1))/MAX(MAX(INDEX(G:G,Lig_min,1):INDEX(G:G,Lig_max,1)),Max_fc_pour_Zrmax)*(Zr_max-Zr_min),Zr_max),Ze+0.001),MAX(MIN(Zr_min+G86/MAX(MAX(INDEX(G:G,Lig_min,1):INDEX(G:G,Lig_max,1)),Max_fc_pour_Zrmax)*(Zr_max-Zr_min),Zr_max),Ze+0.001))</f>
        <v>391.648439490966</v>
      </c>
      <c r="Q86" s="35">
        <f ca="1">IF(Z_sol&gt;0,Z_sol-P86,0.1)</f>
        <v>222.226111573468</v>
      </c>
      <c r="R86" s="35">
        <f ca="1">(Wfc-Wwp)*P86</f>
        <v>50.9142971338256</v>
      </c>
      <c r="S86" s="35">
        <f ca="1">(Wfc-Wwp)*Q86</f>
        <v>28.8893945045508</v>
      </c>
      <c r="T86" s="99">
        <f ca="1" t="shared" si="20"/>
        <v>0.749782306136831</v>
      </c>
      <c r="U86" s="99">
        <f ca="1" t="shared" si="21"/>
        <v>0.391318237731718</v>
      </c>
      <c r="V86" s="99">
        <f ca="1">IF(P86&gt;P85,IF(Q86&gt;1,MAX(AI85+(Wfc-Wwp)*(P86-P85)*AJ85/S85,0),AI85/P85*P86),MAX(AI85+(Wfc-Wwp)*(P86-P85)*AI85/R85,0))</f>
        <v>1.45203401672064</v>
      </c>
      <c r="W86" s="99">
        <f ca="1">IF(S86&gt;1,IF(P86&gt;P85,MAX(AJ85-(Wfc-Wwp)*(P86-P85)*AJ85/S85,0),MAX(AJ85-(Wfc-Wwp)*(P86-P85)*AI85/R85,0)),0)</f>
        <v>6.42836475749303e-8</v>
      </c>
      <c r="X86" s="99">
        <f ca="1">IF(AND(OR(AND(dec_vide_TAW&lt;0,V86&gt;R86*(p+0.04*(5-I85))),AND(dec_vide_TAW&gt;0,V86&gt;R86*dec_vide_TAW)),H86&gt;MAX(INDEX(H:H,Lig_min,1):INDEX(H:H,ROW(X86),1))*Kcbmax_stop_irrig*IF(ROW(X86)-lig_kcbmax&gt;0,1,0),MIN(INDEX(H:H,ROW(X86),1):INDEX(H:H,lig_kcbmax,1))&gt;Kcbmin_start_irrig),MIN(MAX(V86-E86*Irri_man-C86,0),Lame_max),0)</f>
        <v>0</v>
      </c>
      <c r="Y86" s="99">
        <f ca="1">MIN(MAX(T86-C86-IF(fw&gt;0,X86/fw*Irri_auto+E86/fw*Irri_man,0),0),TEW)</f>
        <v>0.551782306136831</v>
      </c>
      <c r="Z86" s="99">
        <f ca="1">MIN(MAX(U86-C86,0),TEW)</f>
        <v>0.193318237731718</v>
      </c>
      <c r="AA86" s="99">
        <f ca="1">MIN(MAX(V86-C86-(X86*Irri_auto+E86*Irri_man),0),R86)</f>
        <v>1.25403401672064</v>
      </c>
      <c r="AB86" s="99">
        <f ca="1">MIN(MAX(W86+MIN(V86-C86-(X86*Irri_auto+E86*Irri_man),0),0),S86)</f>
        <v>6.42836475749303e-8</v>
      </c>
      <c r="AC86" s="99">
        <f ca="1">-MIN(W86+MIN(V86-C86-(X86*Irri_auto+E86*Irri_man),0),0)</f>
        <v>0</v>
      </c>
      <c r="AD86" s="39">
        <f ca="1">IF(((R86-AA86)/P86-((Wfc-Wwp)*Ze-Y86)/Ze)/Wfc*DiffE&lt;0,MAX(((R86-AA86)/P86-((Wfc-Wwp)*Ze-Y86)/Ze)/Wfc*DiffE,(R86*Ze-((Wfc-Wwp)*Ze-Y86-AA86)*P86)/(P86+Ze)-AA86),MIN(((R86-AA86)/P86-((Wfc-Wwp)*Ze-Y86)/Ze)/Wfc*DiffE,(R86*Ze-((Wfc-Wwp)*Ze-Y86-AA86)*P86)/(P86+Ze)-AA86))</f>
        <v>3.0308011503518e-9</v>
      </c>
      <c r="AE86" s="39">
        <f ca="1">IF(((R86-AA86)/P86-((Wfc-Wwp)*Ze-Z86)/Ze)/Wfc*DiffE&lt;0,MAX(((R86-AA86)/P86-((Wfc-Wwp)*Ze-Z86)/Ze)/Wfc*DiffE,(R86*Ze-((Wfc-Wwp)*Ze-Z86-AA86)*P86)/(P86+Ze)-AA86),MIN(((R86-AA86)/P86-((Wfc-Wwp)*Ze-Z86)/Ze)/Wfc*DiffE,(R86*Ze-((Wfc-Wwp)*Ze-Z86-AA86)*P86)/(P86+Ze)-AA86))</f>
        <v>-4.13848021775048e-9</v>
      </c>
      <c r="AF86" s="39">
        <f ca="1">IF(((S86-AB86)/Q86-(R86-AA86)/P86)/Wfc*DiffR&lt;0,MAX(((S86-AB86)/Q86-(R86-AA86)/P86)/Wfc*DiffR,(S86*P86-(R86-AA86-AB86)*Q86)/(P86+Q86)-AB86),MIN(((S86-AB86)/Q86-(R86-AA86)/P86)/Wfc*DiffR,(S86*P86-(R86-AA86-AB86)*Q86)/(P86+Q86)-AB86))</f>
        <v>8.00484424920644e-9</v>
      </c>
      <c r="AG86" s="99">
        <f ca="1">MIN(MAX(Y86+IF(AU86&gt;0,B86*AZ86/AU86,0)+BE86-AD86,0),TEW)</f>
        <v>0.692975544705943</v>
      </c>
      <c r="AH86" s="99">
        <f ca="1">MIN(MAX(Z86+IF(AV86&gt;0,B86*BA86/AV86,0)+BF86-AE86,0),TEW)</f>
        <v>0.291432737296517</v>
      </c>
      <c r="AI86" s="99">
        <f ca="1" t="shared" si="12"/>
        <v>1.46416552544267</v>
      </c>
      <c r="AJ86" s="99">
        <f ca="1" t="shared" si="13"/>
        <v>7.22884918241367e-8</v>
      </c>
      <c r="AK86" s="70">
        <f ca="1">IF((AU86+AV86)&gt;0,(TEW-(AG86*AU86+AH86*AV86)/(AU86+AV86))/TEW,(TEW-(AG86+AH86)/2)/TEW)</f>
        <v>0.979079983556047</v>
      </c>
      <c r="AL86" s="70">
        <f ca="1" t="shared" si="14"/>
        <v>0.971242546634903</v>
      </c>
      <c r="AM86" s="70">
        <f ca="1" t="shared" si="15"/>
        <v>0.99999999749775</v>
      </c>
      <c r="AN86" s="70">
        <f ca="1">Wwp+(Wfc-Wwp)*IF((AU86+AV86)&gt;0,(TEW-(AG86*AU86+AH86*AV86)/(AU86+AV86))/TEW,(TEW-(AG86+AH86)/2)/TEW)</f>
        <v>0.397280397862286</v>
      </c>
      <c r="AO86" s="70">
        <f ca="1">Wwp+(Wfc-Wwp)*(R86-AI86)/R86</f>
        <v>0.396261531062537</v>
      </c>
      <c r="AP86" s="70">
        <f ca="1">Wwp+(Wfc-Wwp)*(S86-AJ86)/S86</f>
        <v>0.399999999674707</v>
      </c>
      <c r="AQ86" s="70"/>
      <c r="AR86" s="70"/>
      <c r="AS86" s="70"/>
      <c r="AT86" s="70"/>
      <c r="AU86" s="70">
        <f ca="1">MIN((1-G86),fw)</f>
        <v>0.433333333333333</v>
      </c>
      <c r="AV86" s="70">
        <f ca="1" t="shared" si="16"/>
        <v>0</v>
      </c>
      <c r="AW86" s="70">
        <f ca="1">MIN((TEW-Y86)/(TEW-REW),1)</f>
        <v>0.12515805334138</v>
      </c>
      <c r="AX86" s="70">
        <f ca="1">MIN((TEW-Z86)/(TEW-REW),1)</f>
        <v>0.126535401610012</v>
      </c>
      <c r="AY86" s="70">
        <f ca="1">IF((AU86*(TEW-Y86))&gt;0,1/(1+((AV86*(TEW-Z86))/(AU86*(TEW-Y86)))),0)</f>
        <v>1</v>
      </c>
      <c r="AZ86" s="70">
        <f ca="1">MIN((AY86*AW86*(Kcmax-H86)),AU86*Kcmax)</f>
        <v>0.0639807688949628</v>
      </c>
      <c r="BA86" s="70">
        <f ca="1">MIN(((1-AY86)*AX86*(Kcmax-H86)),AV86*Kcmax)</f>
        <v>0</v>
      </c>
      <c r="BB86" s="70">
        <f ca="1" t="shared" si="17"/>
        <v>0.0191302498995939</v>
      </c>
      <c r="BC86" s="70">
        <f ca="1">MIN((R86-AA86)/(R86*(1-(p+0.04*(5-I85)))),1)</f>
        <v>1</v>
      </c>
      <c r="BD86" s="10">
        <f ca="1" t="shared" si="18"/>
        <v>0.191001266827279</v>
      </c>
      <c r="BE86" s="70">
        <f ca="1">MIN(IF((1-AA86/R86)&gt;0,(1-Y86/TEW)/(1-AA86/R86)*(Ze/P86)^0.6,0),1)*BC86*H86*B86</f>
        <v>0.0970465110623887</v>
      </c>
      <c r="BF86" s="70">
        <f ca="1">MIN(IF((1-AA86/R86)&gt;0,(1-Z86/TEW)/(1-AA86/R86)*(Ze/P86)^0.6,0),1)*BC86*H86*B86</f>
        <v>0.0981144954263191</v>
      </c>
      <c r="BH86" s="10" t="str">
        <f ca="1" t="shared" si="19"/>
        <v/>
      </c>
      <c r="BI86" s="10" t="str">
        <f ca="1">IF(F86&lt;&gt;"",(Moy_Etobs-F86)^2,"")</f>
        <v/>
      </c>
    </row>
    <row r="87" spans="1:61">
      <c r="A87" s="38">
        <v>39080</v>
      </c>
      <c r="B87" s="10">
        <v>0.386</v>
      </c>
      <c r="C87" s="39">
        <v>0</v>
      </c>
      <c r="D87">
        <v>0.578</v>
      </c>
      <c r="E87" s="39">
        <v>0</v>
      </c>
      <c r="F87"/>
      <c r="G87" s="10">
        <f ca="1">MIN(MAX(IF(AND(Durpla&gt;ROW()-MATCH(NDVImax,INDEX(D:D,Lig_min,1):INDEX(D:D,Lig_max,1),0)-Lig_min+1,ROW()-MATCH(NDVImax,INDEX(D:D,Lig_min,1):INDEX(D:D,Lig_max,1),0)-Lig_min+1&gt;0,D87*a_fc+b_fc&gt;fc_fin),NDVImax*a_fc+b_fc,D87*a_fc+b_fc),0),1)</f>
        <v>0.570666666666667</v>
      </c>
      <c r="H87" s="55">
        <f>MIN(MAX(D87*a_kcb+b_kcb,0),Kcmax)</f>
        <v>0.643309401550858</v>
      </c>
      <c r="I87" s="70">
        <f ca="1" t="shared" si="11"/>
        <v>0.272690056303984</v>
      </c>
      <c r="O87" s="55"/>
      <c r="P87" s="35">
        <f ca="1">IF(ROW()-MATCH(NDVImax,INDEX(D:D,Lig_min,1):INDEX(D:D,Lig_max,1),0)-Lig_min+1&gt;0,MAX(MIN(Zr_min+MAX(INDEX(G:G,Lig_min,1):INDEX(G:G,Lig_max,1))/MAX(MAX(INDEX(G:G,Lig_min,1):INDEX(G:G,Lig_max,1)),Max_fc_pour_Zrmax)*(Zr_max-Zr_min),Zr_max),Ze+0.001),MAX(MIN(Zr_min+G87/MAX(MAX(INDEX(G:G,Lig_min,1):INDEX(G:G,Lig_max,1)),Max_fc_pour_Zrmax)*(Zr_max-Zr_min),Zr_max),Ze+0.001))</f>
        <v>393.530663769726</v>
      </c>
      <c r="Q87" s="35">
        <f ca="1">IF(Z_sol&gt;0,Z_sol-P87,0.1)</f>
        <v>220.343887294708</v>
      </c>
      <c r="R87" s="35">
        <f ca="1">(Wfc-Wwp)*P87</f>
        <v>51.1589862900644</v>
      </c>
      <c r="S87" s="35">
        <f ca="1">(Wfc-Wwp)*Q87</f>
        <v>28.6447053483121</v>
      </c>
      <c r="T87" s="99">
        <f ca="1" t="shared" si="20"/>
        <v>0.692975544705943</v>
      </c>
      <c r="U87" s="99">
        <f ca="1" t="shared" si="21"/>
        <v>0.291432737296517</v>
      </c>
      <c r="V87" s="99">
        <f ca="1">IF(P87&gt;P86,IF(Q87&gt;1,MAX(AI86+(Wfc-Wwp)*(P87-P86)*AJ86/S86,0),AI86/P86*P87),MAX(AI86+(Wfc-Wwp)*(P87-P86)*AI86/R86,0))</f>
        <v>1.46416552605494</v>
      </c>
      <c r="W87" s="99">
        <f ca="1">IF(S87&gt;1,IF(P87&gt;P86,MAX(AJ86-(Wfc-Wwp)*(P87-P86)*AJ86/S86,0),MAX(AJ86-(Wfc-Wwp)*(P87-P86)*AI86/R86,0)),0)</f>
        <v>7.16762183454581e-8</v>
      </c>
      <c r="X87" s="99">
        <f ca="1">IF(AND(OR(AND(dec_vide_TAW&lt;0,V87&gt;R87*(p+0.04*(5-I86))),AND(dec_vide_TAW&gt;0,V87&gt;R87*dec_vide_TAW)),H87&gt;MAX(INDEX(H:H,Lig_min,1):INDEX(H:H,ROW(X87),1))*Kcbmax_stop_irrig*IF(ROW(X87)-lig_kcbmax&gt;0,1,0),MIN(INDEX(H:H,ROW(X87),1):INDEX(H:H,lig_kcbmax,1))&gt;Kcbmin_start_irrig),MIN(MAX(V87-E87*Irri_man-C87,0),Lame_max),0)</f>
        <v>0</v>
      </c>
      <c r="Y87" s="99">
        <f ca="1">MIN(MAX(T87-C87-IF(fw&gt;0,X87/fw*Irri_auto+E87/fw*Irri_man,0),0),TEW)</f>
        <v>0.692975544705943</v>
      </c>
      <c r="Z87" s="99">
        <f ca="1">MIN(MAX(U87-C87,0),TEW)</f>
        <v>0.291432737296517</v>
      </c>
      <c r="AA87" s="99">
        <f ca="1">MIN(MAX(V87-C87-(X87*Irri_auto+E87*Irri_man),0),R87)</f>
        <v>1.46416552605494</v>
      </c>
      <c r="AB87" s="99">
        <f ca="1">MIN(MAX(W87+MIN(V87-C87-(X87*Irri_auto+E87*Irri_man),0),0),S87)</f>
        <v>7.16762183454581e-8</v>
      </c>
      <c r="AC87" s="99">
        <f ca="1">-MIN(W87+MIN(V87-C87-(X87*Irri_auto+E87*Irri_man),0),0)</f>
        <v>0</v>
      </c>
      <c r="AD87" s="39">
        <f ca="1">IF(((R87-AA87)/P87-((Wfc-Wwp)*Ze-Y87)/Ze)/Wfc*DiffE&lt;0,MAX(((R87-AA87)/P87-((Wfc-Wwp)*Ze-Y87)/Ze)/Wfc*DiffE,(R87*Ze-((Wfc-Wwp)*Ze-Y87-AA87)*P87)/(P87+Ze)-AA87),MIN(((R87-AA87)/P87-((Wfc-Wwp)*Ze-Y87)/Ze)/Wfc*DiffE,(R87*Ze-((Wfc-Wwp)*Ze-Y87-AA87)*P87)/(P87+Ze)-AA87))</f>
        <v>4.55804050786397e-9</v>
      </c>
      <c r="AE87" s="39">
        <f ca="1">IF(((R87-AA87)/P87-((Wfc-Wwp)*Ze-Z87)/Ze)/Wfc*DiffE&lt;0,MAX(((R87-AA87)/P87-((Wfc-Wwp)*Ze-Z87)/Ze)/Wfc*DiffE,(R87*Ze-((Wfc-Wwp)*Ze-Z87-AA87)*P87)/(P87+Ze)-AA87),MIN(((R87-AA87)/P87-((Wfc-Wwp)*Ze-Z87)/Ze)/Wfc*DiffE,(R87*Ze-((Wfc-Wwp)*Ze-Z87-AA87)*P87)/(P87+Ze)-AA87))</f>
        <v>-3.47281564032457e-9</v>
      </c>
      <c r="AF87" s="39">
        <f ca="1">IF(((S87-AB87)/Q87-(R87-AA87)/P87)/Wfc*DiffR&lt;0,MAX(((S87-AB87)/Q87-(R87-AA87)/P87)/Wfc*DiffR,(S87*P87-(R87-AA87-AB87)*Q87)/(P87+Q87)-AB87),MIN(((S87-AB87)/Q87-(R87-AA87)/P87)/Wfc*DiffR,(S87*P87-(R87-AA87-AB87)*Q87)/(P87+Q87)-AB87))</f>
        <v>9.30146957302362e-9</v>
      </c>
      <c r="AG87" s="99">
        <f ca="1">MIN(MAX(Y87+IF(AU87&gt;0,B87*AZ87/AU87,0)+BE87-AD87,0),TEW)</f>
        <v>0.875519288129845</v>
      </c>
      <c r="AH87" s="99">
        <f ca="1">MIN(MAX(Z87+IF(AV87&gt;0,B87*BA87/AV87,0)+BF87-AE87,0),TEW)</f>
        <v>0.418765177135372</v>
      </c>
      <c r="AI87" s="99">
        <f ca="1" t="shared" si="12"/>
        <v>1.73685557305746</v>
      </c>
      <c r="AJ87" s="99">
        <f ca="1" t="shared" si="13"/>
        <v>8.09776879184817e-8</v>
      </c>
      <c r="AK87" s="70">
        <f ca="1">IF((AU87+AV87)&gt;0,(TEW-(AG87*AU87+AH87*AV87)/(AU87+AV87))/TEW,(TEW-(AG87+AH87)/2)/TEW)</f>
        <v>0.97356922903759</v>
      </c>
      <c r="AL87" s="70">
        <f ca="1" t="shared" si="14"/>
        <v>0.966049843849334</v>
      </c>
      <c r="AM87" s="70">
        <f ca="1" t="shared" si="15"/>
        <v>0.999999997173031</v>
      </c>
      <c r="AN87" s="70">
        <f ca="1">Wwp+(Wfc-Wwp)*IF((AU87+AV87)&gt;0,(TEW-(AG87*AU87+AH87*AV87)/(AU87+AV87))/TEW,(TEW-(AG87+AH87)/2)/TEW)</f>
        <v>0.396563999774887</v>
      </c>
      <c r="AO87" s="70">
        <f ca="1">Wwp+(Wfc-Wwp)*(R87-AI87)/R87</f>
        <v>0.395586479700413</v>
      </c>
      <c r="AP87" s="70">
        <f ca="1">Wwp+(Wfc-Wwp)*(S87-AJ87)/S87</f>
        <v>0.399999999632494</v>
      </c>
      <c r="AQ87" s="70"/>
      <c r="AR87" s="70"/>
      <c r="AS87" s="70"/>
      <c r="AT87" s="70"/>
      <c r="AU87" s="70">
        <f ca="1">MIN((1-G87),fw)</f>
        <v>0.429333333333333</v>
      </c>
      <c r="AV87" s="70">
        <f ca="1" t="shared" si="16"/>
        <v>0</v>
      </c>
      <c r="AW87" s="70">
        <f ca="1">MIN((TEW-Y87)/(TEW-REW),1)</f>
        <v>0.124615537982586</v>
      </c>
      <c r="AX87" s="70">
        <f ca="1">MIN((TEW-Z87)/(TEW-REW),1)</f>
        <v>0.126158410307357</v>
      </c>
      <c r="AY87" s="70">
        <f ca="1">IF((AU87*(TEW-Y87))&gt;0,1/(1+((AV87*(TEW-Z87))/(AU87*(TEW-Y87)))),0)</f>
        <v>1</v>
      </c>
      <c r="AZ87" s="70">
        <f ca="1">MIN((AY87*AW87*(Kcmax-H87)),AU87*Kcmax)</f>
        <v>0.0631415215164582</v>
      </c>
      <c r="BA87" s="70">
        <f ca="1">MIN(((1-AY87)*AX87*(Kcmax-H87)),AV87*Kcmax)</f>
        <v>0</v>
      </c>
      <c r="BB87" s="70">
        <f ca="1" t="shared" si="17"/>
        <v>0.0243726273053529</v>
      </c>
      <c r="BC87" s="70">
        <f ca="1">MIN((R87-AA87)/(R87*(1-(p+0.04*(5-I86)))),1)</f>
        <v>1</v>
      </c>
      <c r="BD87" s="10">
        <f ca="1" t="shared" si="18"/>
        <v>0.248317428998631</v>
      </c>
      <c r="BE87" s="70">
        <f ca="1">MIN(IF((1-AA87/R87)&gt;0,(1-Y87/TEW)/(1-AA87/R87)*(Ze/P87)^0.6,0),1)*BC87*H87*B87</f>
        <v>0.125775206121649</v>
      </c>
      <c r="BF87" s="70">
        <f ca="1">MIN(IF((1-AA87/R87)&gt;0,(1-Z87/TEW)/(1-AA87/R87)*(Ze/P87)^0.6,0),1)*BC87*H87*B87</f>
        <v>0.127332436366039</v>
      </c>
      <c r="BH87" s="10" t="str">
        <f ca="1" t="shared" si="19"/>
        <v/>
      </c>
      <c r="BI87" s="10" t="str">
        <f ca="1">IF(F87&lt;&gt;"",(Moy_Etobs-F87)^2,"")</f>
        <v/>
      </c>
    </row>
    <row r="88" spans="1:61">
      <c r="A88" s="38">
        <v>39081</v>
      </c>
      <c r="B88" s="10">
        <v>0.967</v>
      </c>
      <c r="C88" s="39">
        <v>0</v>
      </c>
      <c r="D88">
        <v>0.581</v>
      </c>
      <c r="E88" s="39">
        <v>0</v>
      </c>
      <c r="F88" s="10">
        <v>0.4903902</v>
      </c>
      <c r="G88" s="10">
        <f ca="1">MIN(MAX(IF(AND(Durpla&gt;ROW()-MATCH(NDVImax,INDEX(D:D,Lig_min,1):INDEX(D:D,Lig_max,1),0)-Lig_min+1,ROW()-MATCH(NDVImax,INDEX(D:D,Lig_min,1):INDEX(D:D,Lig_max,1),0)-Lig_min+1&gt;0,D88*a_fc+b_fc&gt;fc_fin),NDVImax*a_fc+b_fc,D88*a_fc+b_fc),0),1)</f>
        <v>0.574666666666667</v>
      </c>
      <c r="H88" s="55">
        <f>MIN(MAX(D88*a_kcb+b_kcb,0),Kcmax)</f>
        <v>0.647818579599112</v>
      </c>
      <c r="I88" s="70">
        <f ca="1" t="shared" si="11"/>
        <v>0.686614441350601</v>
      </c>
      <c r="O88" s="55"/>
      <c r="P88" s="35">
        <f ca="1">IF(ROW()-MATCH(NDVImax,INDEX(D:D,Lig_min,1):INDEX(D:D,Lig_max,1),0)-Lig_min+1&gt;0,MAX(MIN(Zr_min+MAX(INDEX(G:G,Lig_min,1):INDEX(G:G,Lig_max,1))/MAX(MAX(INDEX(G:G,Lig_min,1):INDEX(G:G,Lig_max,1)),Max_fc_pour_Zrmax)*(Zr_max-Zr_min),Zr_max),Ze+0.001),MAX(MIN(Zr_min+G88/MAX(MAX(INDEX(G:G,Lig_min,1):INDEX(G:G,Lig_max,1)),Max_fc_pour_Zrmax)*(Zr_max-Zr_min),Zr_max),Ze+0.001))</f>
        <v>395.412888048486</v>
      </c>
      <c r="Q88" s="35">
        <f ca="1">IF(Z_sol&gt;0,Z_sol-P88,0.1)</f>
        <v>218.461663015948</v>
      </c>
      <c r="R88" s="35">
        <f ca="1">(Wfc-Wwp)*P88</f>
        <v>51.4036754463031</v>
      </c>
      <c r="S88" s="35">
        <f ca="1">(Wfc-Wwp)*Q88</f>
        <v>28.4000161920733</v>
      </c>
      <c r="T88" s="99">
        <f ca="1" t="shared" si="20"/>
        <v>0.875519288129845</v>
      </c>
      <c r="U88" s="99">
        <f ca="1" t="shared" si="21"/>
        <v>0.418765177135372</v>
      </c>
      <c r="V88" s="99">
        <f ca="1">IF(P88&gt;P87,IF(Q88&gt;1,MAX(AI87+(Wfc-Wwp)*(P88-P87)*AJ87/S87,0),AI87/P87*P88),MAX(AI87+(Wfc-Wwp)*(P88-P87)*AI87/R87,0))</f>
        <v>1.73685557374919</v>
      </c>
      <c r="W88" s="99">
        <f ca="1">IF(S88&gt;1,IF(P88&gt;P87,MAX(AJ87-(Wfc-Wwp)*(P88-P87)*AJ87/S87,0),MAX(AJ87-(Wfc-Wwp)*(P88-P87)*AI87/R87,0)),0)</f>
        <v>8.0285959311397e-8</v>
      </c>
      <c r="X88" s="99">
        <f ca="1">IF(AND(OR(AND(dec_vide_TAW&lt;0,V88&gt;R88*(p+0.04*(5-I87))),AND(dec_vide_TAW&gt;0,V88&gt;R88*dec_vide_TAW)),H88&gt;MAX(INDEX(H:H,Lig_min,1):INDEX(H:H,ROW(X88),1))*Kcbmax_stop_irrig*IF(ROW(X88)-lig_kcbmax&gt;0,1,0),MIN(INDEX(H:H,ROW(X88),1):INDEX(H:H,lig_kcbmax,1))&gt;Kcbmin_start_irrig),MIN(MAX(V88-E88*Irri_man-C88,0),Lame_max),0)</f>
        <v>0</v>
      </c>
      <c r="Y88" s="99">
        <f ca="1">MIN(MAX(T88-C88-IF(fw&gt;0,X88/fw*Irri_auto+E88/fw*Irri_man,0),0),TEW)</f>
        <v>0.875519288129845</v>
      </c>
      <c r="Z88" s="99">
        <f ca="1">MIN(MAX(U88-C88,0),TEW)</f>
        <v>0.418765177135372</v>
      </c>
      <c r="AA88" s="99">
        <f ca="1">MIN(MAX(V88-C88-(X88*Irri_auto+E88*Irri_man),0),R88)</f>
        <v>1.73685557374919</v>
      </c>
      <c r="AB88" s="99">
        <f ca="1">MIN(MAX(W88+MIN(V88-C88-(X88*Irri_auto+E88*Irri_man),0),0),S88)</f>
        <v>8.0285959311397e-8</v>
      </c>
      <c r="AC88" s="99">
        <f ca="1">-MIN(W88+MIN(V88-C88-(X88*Irri_auto+E88*Irri_man),0),0)</f>
        <v>0</v>
      </c>
      <c r="AD88" s="39">
        <f ca="1">IF(((R88-AA88)/P88-((Wfc-Wwp)*Ze-Y88)/Ze)/Wfc*DiffE&lt;0,MAX(((R88-AA88)/P88-((Wfc-Wwp)*Ze-Y88)/Ze)/Wfc*DiffE,(R88*Ze-((Wfc-Wwp)*Ze-Y88-AA88)*P88)/(P88+Ze)-AA88),MIN(((R88-AA88)/P88-((Wfc-Wwp)*Ze-Y88)/Ze)/Wfc*DiffE,(R88*Ze-((Wfc-Wwp)*Ze-Y88-AA88)*P88)/(P88+Ze)-AA88))</f>
        <v>6.52910754528061e-9</v>
      </c>
      <c r="AE88" s="39">
        <f ca="1">IF(((R88-AA88)/P88-((Wfc-Wwp)*Ze-Z88)/Ze)/Wfc*DiffE&lt;0,MAX(((R88-AA88)/P88-((Wfc-Wwp)*Ze-Z88)/Ze)/Wfc*DiffE,(R88*Ze-((Wfc-Wwp)*Ze-Z88-AA88)*P88)/(P88+Ze)-AA88),MIN(((R88-AA88)/P88-((Wfc-Wwp)*Ze-Z88)/Ze)/Wfc*DiffE,(R88*Ze-((Wfc-Wwp)*Ze-Z88-AA88)*P88)/(P88+Ze)-AA88))</f>
        <v>-2.60597467460884e-9</v>
      </c>
      <c r="AF88" s="39">
        <f ca="1">IF(((S88-AB88)/Q88-(R88-AA88)/P88)/Wfc*DiffR&lt;0,MAX(((S88-AB88)/Q88-(R88-AA88)/P88)/Wfc*DiffR,(S88*P88-(R88-AA88-AB88)*Q88)/(P88+Q88)-AB88),MIN(((S88-AB88)/Q88-(R88-AA88)/P88)/Wfc*DiffR,(S88*P88-(R88-AA88-AB88)*Q88)/(P88+Q88)-AB88))</f>
        <v>1.09812772985515e-8</v>
      </c>
      <c r="AG88" s="99">
        <f ca="1">MIN(MAX(Y88+IF(AU88&gt;0,B88*AZ88/AU88,0)+BE88-AD88,0),TEW)</f>
        <v>1.33328724923312</v>
      </c>
      <c r="AH88" s="99">
        <f ca="1">MIN(MAX(Z88+IF(AV88&gt;0,B88*BA88/AV88,0)+BF88-AE88,0),TEW)</f>
        <v>0.739538228743826</v>
      </c>
      <c r="AI88" s="99">
        <f ca="1" t="shared" si="12"/>
        <v>2.42347000411851</v>
      </c>
      <c r="AJ88" s="99">
        <f ca="1" t="shared" si="13"/>
        <v>9.12672366099485e-8</v>
      </c>
      <c r="AK88" s="70">
        <f ca="1">IF((AU88+AV88)&gt;0,(TEW-(AG88*AU88+AH88*AV88)/(AU88+AV88))/TEW,(TEW-(AG88+AH88)/2)/TEW)</f>
        <v>0.959749818891076</v>
      </c>
      <c r="AL88" s="70">
        <f ca="1" t="shared" si="14"/>
        <v>0.952854149375951</v>
      </c>
      <c r="AM88" s="70">
        <f ca="1" t="shared" si="15"/>
        <v>0.999999996786367</v>
      </c>
      <c r="AN88" s="70">
        <f ca="1">Wwp+(Wfc-Wwp)*IF((AU88+AV88)&gt;0,(TEW-(AG88*AU88+AH88*AV88)/(AU88+AV88))/TEW,(TEW-(AG88+AH88)/2)/TEW)</f>
        <v>0.39476747645584</v>
      </c>
      <c r="AO88" s="70">
        <f ca="1">Wwp+(Wfc-Wwp)*(R88-AI88)/R88</f>
        <v>0.393871039418874</v>
      </c>
      <c r="AP88" s="70">
        <f ca="1">Wwp+(Wfc-Wwp)*(S88-AJ88)/S88</f>
        <v>0.399999999582228</v>
      </c>
      <c r="AQ88" s="70"/>
      <c r="AR88" s="70"/>
      <c r="AS88" s="70"/>
      <c r="AT88" s="70"/>
      <c r="AU88" s="70">
        <f ca="1">MIN((1-G88),fw)</f>
        <v>0.425333333333333</v>
      </c>
      <c r="AV88" s="70">
        <f ca="1" t="shared" si="16"/>
        <v>0</v>
      </c>
      <c r="AW88" s="70">
        <f ca="1">MIN((TEW-Y88)/(TEW-REW),1)</f>
        <v>0.123914139066725</v>
      </c>
      <c r="AX88" s="70">
        <f ca="1">MIN((TEW-Z88)/(TEW-REW),1)</f>
        <v>0.125669153137641</v>
      </c>
      <c r="AY88" s="70">
        <f ca="1">IF((AU88*(TEW-Y88))&gt;0,1/(1+((AV88*(TEW-Z88))/(AU88*(TEW-Y88)))),0)</f>
        <v>1</v>
      </c>
      <c r="AZ88" s="70">
        <f ca="1">MIN((AY88*AW88*(Kcmax-H88)),AU88*Kcmax)</f>
        <v>0.0622273783642811</v>
      </c>
      <c r="BA88" s="70">
        <f ca="1">MIN(((1-AY88)*AX88*(Kcmax-H88)),AV88*Kcmax)</f>
        <v>0</v>
      </c>
      <c r="BB88" s="70">
        <f ca="1" t="shared" si="17"/>
        <v>0.0601738748782598</v>
      </c>
      <c r="BC88" s="70">
        <f ca="1">MIN((R88-AA88)/(R88*(1-(p+0.04*(5-I87)))),1)</f>
        <v>1</v>
      </c>
      <c r="BD88" s="10">
        <f ca="1" t="shared" si="18"/>
        <v>0.626440566472341</v>
      </c>
      <c r="BE88" s="70">
        <f ca="1">MIN(IF((1-AA88/R88)&gt;0,(1-Y88/TEW)/(1-AA88/R88)*(Ze/P88)^0.6,0),1)*BC88*H88*B88</f>
        <v>0.316293340175657</v>
      </c>
      <c r="BF88" s="70">
        <f ca="1">MIN(IF((1-AA88/R88)&gt;0,(1-Z88/TEW)/(1-AA88/R88)*(Ze/P88)^0.6,0),1)*BC88*H88*B88</f>
        <v>0.320773049002479</v>
      </c>
      <c r="BH88" s="10">
        <f ca="1" t="shared" si="19"/>
        <v>0.0385039528936189</v>
      </c>
      <c r="BI88" s="10">
        <f ca="1">IF(F88&lt;&gt;"",(Moy_Etobs-F88)^2,"")</f>
        <v>1.25100281782305</v>
      </c>
    </row>
    <row r="89" spans="1:61">
      <c r="A89" s="38">
        <v>39082</v>
      </c>
      <c r="B89" s="10">
        <v>0.475</v>
      </c>
      <c r="C89" s="39">
        <v>0</v>
      </c>
      <c r="D89">
        <v>0.584</v>
      </c>
      <c r="E89" s="39">
        <v>0</v>
      </c>
      <c r="F89"/>
      <c r="G89" s="10">
        <f ca="1">MIN(MAX(IF(AND(Durpla&gt;ROW()-MATCH(NDVImax,INDEX(D:D,Lig_min,1):INDEX(D:D,Lig_max,1),0)-Lig_min+1,ROW()-MATCH(NDVImax,INDEX(D:D,Lig_min,1):INDEX(D:D,Lig_max,1),0)-Lig_min+1&gt;0,D89*a_fc+b_fc&gt;fc_fin),NDVImax*a_fc+b_fc,D89*a_fc+b_fc),0),1)</f>
        <v>0.578666666666667</v>
      </c>
      <c r="H89" s="55">
        <f>MIN(MAX(D89*a_kcb+b_kcb,0),Kcmax)</f>
        <v>0.652327757647366</v>
      </c>
      <c r="I89" s="70">
        <f ca="1" t="shared" si="11"/>
        <v>0.338732486678774</v>
      </c>
      <c r="O89" s="55"/>
      <c r="P89" s="35">
        <f ca="1">IF(ROW()-MATCH(NDVImax,INDEX(D:D,Lig_min,1):INDEX(D:D,Lig_max,1),0)-Lig_min+1&gt;0,MAX(MIN(Zr_min+MAX(INDEX(G:G,Lig_min,1):INDEX(G:G,Lig_max,1))/MAX(MAX(INDEX(G:G,Lig_min,1):INDEX(G:G,Lig_max,1)),Max_fc_pour_Zrmax)*(Zr_max-Zr_min),Zr_max),Ze+0.001),MAX(MIN(Zr_min+G89/MAX(MAX(INDEX(G:G,Lig_min,1):INDEX(G:G,Lig_max,1)),Max_fc_pour_Zrmax)*(Zr_max-Zr_min),Zr_max),Ze+0.001))</f>
        <v>397.295112327245</v>
      </c>
      <c r="Q89" s="35">
        <f ca="1">IF(Z_sol&gt;0,Z_sol-P89,0.1)</f>
        <v>216.579438737189</v>
      </c>
      <c r="R89" s="35">
        <f ca="1">(Wfc-Wwp)*P89</f>
        <v>51.6483646025419</v>
      </c>
      <c r="S89" s="35">
        <f ca="1">(Wfc-Wwp)*Q89</f>
        <v>28.1553270358345</v>
      </c>
      <c r="T89" s="99">
        <f ca="1" t="shared" si="20"/>
        <v>1.33328724923312</v>
      </c>
      <c r="U89" s="99">
        <f ca="1" t="shared" si="21"/>
        <v>0.739538228743826</v>
      </c>
      <c r="V89" s="99">
        <f ca="1">IF(P89&gt;P88,IF(Q89&gt;1,MAX(AI88+(Wfc-Wwp)*(P89-P88)*AJ88/S88,0),AI88/P88*P89),MAX(AI88+(Wfc-Wwp)*(P89-P88)*AI88/R88,0))</f>
        <v>2.42347000490485</v>
      </c>
      <c r="W89" s="99">
        <f ca="1">IF(S89&gt;1,IF(P89&gt;P88,MAX(AJ88-(Wfc-Wwp)*(P89-P88)*AJ88/S88,0),MAX(AJ88-(Wfc-Wwp)*(P89-P88)*AI88/R88,0)),0)</f>
        <v>9.04808953991796e-8</v>
      </c>
      <c r="X89" s="99">
        <f ca="1">IF(AND(OR(AND(dec_vide_TAW&lt;0,V89&gt;R89*(p+0.04*(5-I88))),AND(dec_vide_TAW&gt;0,V89&gt;R89*dec_vide_TAW)),H89&gt;MAX(INDEX(H:H,Lig_min,1):INDEX(H:H,ROW(X89),1))*Kcbmax_stop_irrig*IF(ROW(X89)-lig_kcbmax&gt;0,1,0),MIN(INDEX(H:H,ROW(X89),1):INDEX(H:H,lig_kcbmax,1))&gt;Kcbmin_start_irrig),MIN(MAX(V89-E89*Irri_man-C89,0),Lame_max),0)</f>
        <v>0</v>
      </c>
      <c r="Y89" s="99">
        <f ca="1">MIN(MAX(T89-C89-IF(fw&gt;0,X89/fw*Irri_auto+E89/fw*Irri_man,0),0),TEW)</f>
        <v>1.33328724923312</v>
      </c>
      <c r="Z89" s="99">
        <f ca="1">MIN(MAX(U89-C89,0),TEW)</f>
        <v>0.739538228743826</v>
      </c>
      <c r="AA89" s="99">
        <f ca="1">MIN(MAX(V89-C89-(X89*Irri_auto+E89*Irri_man),0),R89)</f>
        <v>2.42347000490485</v>
      </c>
      <c r="AB89" s="99">
        <f ca="1">MIN(MAX(W89+MIN(V89-C89-(X89*Irri_auto+E89*Irri_man),0),0),S89)</f>
        <v>9.04808953991796e-8</v>
      </c>
      <c r="AC89" s="99">
        <f ca="1">-MIN(W89+MIN(V89-C89-(X89*Irri_auto+E89*Irri_man),0),0)</f>
        <v>0</v>
      </c>
      <c r="AD89" s="39">
        <f ca="1">IF(((R89-AA89)/P89-((Wfc-Wwp)*Ze-Y89)/Ze)/Wfc*DiffE&lt;0,MAX(((R89-AA89)/P89-((Wfc-Wwp)*Ze-Y89)/Ze)/Wfc*DiffE,(R89*Ze-((Wfc-Wwp)*Ze-Y89-AA89)*P89)/(P89+Ze)-AA89),MIN(((R89-AA89)/P89-((Wfc-Wwp)*Ze-Y89)/Ze)/Wfc*DiffE,(R89*Ze-((Wfc-Wwp)*Ze-Y89-AA89)*P89)/(P89+Ze)-AA89))</f>
        <v>1.14159348957034e-8</v>
      </c>
      <c r="AE89" s="39">
        <f ca="1">IF(((R89-AA89)/P89-((Wfc-Wwp)*Ze-Z89)/Ze)/Wfc*DiffE&lt;0,MAX(((R89-AA89)/P89-((Wfc-Wwp)*Ze-Z89)/Ze)/Wfc*DiffE,(R89*Ze-((Wfc-Wwp)*Ze-Z89-AA89)*P89)/(P89+Ze)-AA89),MIN(((R89-AA89)/P89-((Wfc-Wwp)*Ze-Z89)/Ze)/Wfc*DiffE,(R89*Ze-((Wfc-Wwp)*Ze-Z89-AA89)*P89)/(P89+Ze)-AA89))</f>
        <v>-4.59045514082518e-10</v>
      </c>
      <c r="AF89" s="39">
        <f ca="1">IF(((S89-AB89)/Q89-(R89-AA89)/P89)/Wfc*DiffR&lt;0,MAX(((S89-AB89)/Q89-(R89-AA89)/P89)/Wfc*DiffR,(S89*P89-(R89-AA89-AB89)*Q89)/(P89+Q89)-AB89),MIN(((S89-AB89)/Q89-(R89-AA89)/P89)/Wfc*DiffR,(S89*P89-(R89-AA89-AB89)*Q89)/(P89+Q89)-AB89))</f>
        <v>1.52498090445282e-8</v>
      </c>
      <c r="AG89" s="99">
        <f ca="1">MIN(MAX(Y89+IF(AU89&gt;0,B89*AZ89/AU89,0)+BE89-AD89,0),TEW)</f>
        <v>1.55773157796728</v>
      </c>
      <c r="AH89" s="99">
        <f ca="1">MIN(MAX(Z89+IF(AV89&gt;0,B89*BA89/AV89,0)+BF89-AE89,0),TEW)</f>
        <v>0.89835762136591</v>
      </c>
      <c r="AI89" s="99">
        <f ca="1" t="shared" si="12"/>
        <v>2.76220247633382</v>
      </c>
      <c r="AJ89" s="99">
        <f ca="1" t="shared" si="13"/>
        <v>1.05730704443708e-7</v>
      </c>
      <c r="AK89" s="70">
        <f ca="1">IF((AU89+AV89)&gt;0,(TEW-(AG89*AU89+AH89*AV89)/(AU89+AV89))/TEW,(TEW-(AG89+AH89)/2)/TEW)</f>
        <v>0.952974141042497</v>
      </c>
      <c r="AL89" s="70">
        <f ca="1" t="shared" si="14"/>
        <v>0.946519071850769</v>
      </c>
      <c r="AM89" s="70">
        <f ca="1" t="shared" si="15"/>
        <v>0.999999996244735</v>
      </c>
      <c r="AN89" s="70">
        <f ca="1">Wwp+(Wfc-Wwp)*IF((AU89+AV89)&gt;0,(TEW-(AG89*AU89+AH89*AV89)/(AU89+AV89))/TEW,(TEW-(AG89+AH89)/2)/TEW)</f>
        <v>0.393886638335525</v>
      </c>
      <c r="AO89" s="70">
        <f ca="1">Wwp+(Wfc-Wwp)*(R89-AI89)/R89</f>
        <v>0.3930474793406</v>
      </c>
      <c r="AP89" s="70">
        <f ca="1">Wwp+(Wfc-Wwp)*(S89-AJ89)/S89</f>
        <v>0.399999999511816</v>
      </c>
      <c r="AQ89" s="70"/>
      <c r="AR89" s="70"/>
      <c r="AS89" s="70"/>
      <c r="AT89" s="70"/>
      <c r="AU89" s="70">
        <f ca="1">MIN((1-G89),fw)</f>
        <v>0.421333333333333</v>
      </c>
      <c r="AV89" s="70">
        <f ca="1" t="shared" si="16"/>
        <v>0</v>
      </c>
      <c r="AW89" s="70">
        <f ca="1">MIN((TEW-Y89)/(TEW-REW),1)</f>
        <v>0.122155229417939</v>
      </c>
      <c r="AX89" s="70">
        <f ca="1">MIN((TEW-Z89)/(TEW-REW),1)</f>
        <v>0.124436627352777</v>
      </c>
      <c r="AY89" s="70">
        <f ca="1">IF((AU89*(TEW-Y89))&gt;0,1/(1+((AV89*(TEW-Z89))/(AU89*(TEW-Y89)))),0)</f>
        <v>1</v>
      </c>
      <c r="AZ89" s="70">
        <f ca="1">MIN((AY89*AW89*(Kcmax-H89)),AU89*Kcmax)</f>
        <v>0.0607932669395262</v>
      </c>
      <c r="BA89" s="70">
        <f ca="1">MIN(((1-AY89)*AX89*(Kcmax-H89)),AV89*Kcmax)</f>
        <v>0</v>
      </c>
      <c r="BB89" s="70">
        <f ca="1" t="shared" si="17"/>
        <v>0.0288768017962749</v>
      </c>
      <c r="BC89" s="70">
        <f ca="1">MIN((R89-AA89)/(R89*(1-(p+0.04*(5-I88)))),1)</f>
        <v>1</v>
      </c>
      <c r="BD89" s="10">
        <f ca="1" t="shared" si="18"/>
        <v>0.309855684882499</v>
      </c>
      <c r="BE89" s="70">
        <f ca="1">MIN(IF((1-AA89/R89)&gt;0,(1-Y89/TEW)/(1-AA89/R89)*(Ze/P89)^0.6,0),1)*BC89*H89*B89</f>
        <v>0.155907627026029</v>
      </c>
      <c r="BF89" s="70">
        <f ca="1">MIN(IF((1-AA89/R89)&gt;0,(1-Z89/TEW)/(1-AA89/R89)*(Ze/P89)^0.6,0),1)*BC89*H89*B89</f>
        <v>0.158819392163038</v>
      </c>
      <c r="BH89" s="10" t="str">
        <f ca="1" t="shared" si="19"/>
        <v/>
      </c>
      <c r="BI89" s="10" t="str">
        <f ca="1">IF(F89&lt;&gt;"",(Moy_Etobs-F89)^2,"")</f>
        <v/>
      </c>
    </row>
    <row r="90" spans="1:61">
      <c r="A90" s="38">
        <v>39083</v>
      </c>
      <c r="B90" s="10">
        <v>0.488</v>
      </c>
      <c r="C90" s="39">
        <v>3.168</v>
      </c>
      <c r="D90">
        <v>0.587</v>
      </c>
      <c r="E90" s="39">
        <v>0</v>
      </c>
      <c r="F90" s="10">
        <v>0.2119968</v>
      </c>
      <c r="G90" s="10">
        <f ca="1">MIN(MAX(IF(AND(Durpla&gt;ROW()-MATCH(NDVImax,INDEX(D:D,Lig_min,1):INDEX(D:D,Lig_max,1),0)-Lig_min+1,ROW()-MATCH(NDVImax,INDEX(D:D,Lig_min,1):INDEX(D:D,Lig_max,1),0)-Lig_min+1&gt;0,D90*a_fc+b_fc&gt;fc_fin),NDVImax*a_fc+b_fc,D90*a_fc+b_fc),0),1)</f>
        <v>0.582666666666667</v>
      </c>
      <c r="H90" s="55">
        <f>MIN(MAX(D90*a_kcb+b_kcb,0),Kcmax)</f>
        <v>0.656836935695619</v>
      </c>
      <c r="I90" s="70">
        <f ca="1" t="shared" si="11"/>
        <v>0.351167651304265</v>
      </c>
      <c r="O90" s="55"/>
      <c r="P90" s="35">
        <f ca="1">IF(ROW()-MATCH(NDVImax,INDEX(D:D,Lig_min,1):INDEX(D:D,Lig_max,1),0)-Lig_min+1&gt;0,MAX(MIN(Zr_min+MAX(INDEX(G:G,Lig_min,1):INDEX(G:G,Lig_max,1))/MAX(MAX(INDEX(G:G,Lig_min,1):INDEX(G:G,Lig_max,1)),Max_fc_pour_Zrmax)*(Zr_max-Zr_min),Zr_max),Ze+0.001),MAX(MIN(Zr_min+G90/MAX(MAX(INDEX(G:G,Lig_min,1):INDEX(G:G,Lig_max,1)),Max_fc_pour_Zrmax)*(Zr_max-Zr_min),Zr_max),Ze+0.001))</f>
        <v>399.177336606005</v>
      </c>
      <c r="Q90" s="35">
        <f ca="1">IF(Z_sol&gt;0,Z_sol-P90,0.1)</f>
        <v>214.697214458429</v>
      </c>
      <c r="R90" s="35">
        <f ca="1">(Wfc-Wwp)*P90</f>
        <v>51.8930537587807</v>
      </c>
      <c r="S90" s="35">
        <f ca="1">(Wfc-Wwp)*Q90</f>
        <v>27.9106378795958</v>
      </c>
      <c r="T90" s="99">
        <f ca="1" t="shared" si="20"/>
        <v>1.55773157796728</v>
      </c>
      <c r="U90" s="99">
        <f ca="1" t="shared" si="21"/>
        <v>0.89835762136591</v>
      </c>
      <c r="V90" s="99">
        <f ca="1">IF(P90&gt;P89,IF(Q90&gt;1,MAX(AI89+(Wfc-Wwp)*(P90-P89)*AJ89/S89,0),AI89/P89*P90),MAX(AI89+(Wfc-Wwp)*(P90-P89)*AI89/R89,0))</f>
        <v>2.76220247725269</v>
      </c>
      <c r="W90" s="99">
        <f ca="1">IF(S90&gt;1,IF(P90&gt;P89,MAX(AJ89-(Wfc-Wwp)*(P90-P89)*AJ89/S89,0),MAX(AJ89-(Wfc-Wwp)*(P90-P89)*AI89/R89,0)),0)</f>
        <v>1.04811831904031e-7</v>
      </c>
      <c r="X90" s="99">
        <f ca="1">IF(AND(OR(AND(dec_vide_TAW&lt;0,V90&gt;R90*(p+0.04*(5-I89))),AND(dec_vide_TAW&gt;0,V90&gt;R90*dec_vide_TAW)),H90&gt;MAX(INDEX(H:H,Lig_min,1):INDEX(H:H,ROW(X90),1))*Kcbmax_stop_irrig*IF(ROW(X90)-lig_kcbmax&gt;0,1,0),MIN(INDEX(H:H,ROW(X90),1):INDEX(H:H,lig_kcbmax,1))&gt;Kcbmin_start_irrig),MIN(MAX(V90-E90*Irri_man-C90,0),Lame_max),0)</f>
        <v>0</v>
      </c>
      <c r="Y90" s="99">
        <f ca="1">MIN(MAX(T90-C90-IF(fw&gt;0,X90/fw*Irri_auto+E90/fw*Irri_man,0),0),TEW)</f>
        <v>0</v>
      </c>
      <c r="Z90" s="99">
        <f ca="1">MIN(MAX(U90-C90,0),TEW)</f>
        <v>0</v>
      </c>
      <c r="AA90" s="99">
        <f ca="1">MIN(MAX(V90-C90-(X90*Irri_auto+E90*Irri_man),0),R90)</f>
        <v>0</v>
      </c>
      <c r="AB90" s="99">
        <f ca="1">MIN(MAX(W90+MIN(V90-C90-(X90*Irri_auto+E90*Irri_man),0),0),S90)</f>
        <v>0</v>
      </c>
      <c r="AC90" s="99">
        <f ca="1">-MIN(W90+MIN(V90-C90-(X90*Irri_auto+E90*Irri_man),0),0)</f>
        <v>0.405797417935479</v>
      </c>
      <c r="AD90" s="39">
        <f ca="1">IF(((R90-AA90)/P90-((Wfc-Wwp)*Ze-Y90)/Ze)/Wfc*DiffE&lt;0,MAX(((R90-AA90)/P90-((Wfc-Wwp)*Ze-Y90)/Ze)/Wfc*DiffE,(R90*Ze-((Wfc-Wwp)*Ze-Y90-AA90)*P90)/(P90+Ze)-AA90),MIN(((R90-AA90)/P90-((Wfc-Wwp)*Ze-Y90)/Ze)/Wfc*DiffE,(R90*Ze-((Wfc-Wwp)*Ze-Y90-AA90)*P90)/(P90+Ze)-AA90))</f>
        <v>0</v>
      </c>
      <c r="AE90" s="39">
        <f ca="1">IF(((R90-AA90)/P90-((Wfc-Wwp)*Ze-Z90)/Ze)/Wfc*DiffE&lt;0,MAX(((R90-AA90)/P90-((Wfc-Wwp)*Ze-Z90)/Ze)/Wfc*DiffE,(R90*Ze-((Wfc-Wwp)*Ze-Z90-AA90)*P90)/(P90+Ze)-AA90),MIN(((R90-AA90)/P90-((Wfc-Wwp)*Ze-Z90)/Ze)/Wfc*DiffE,(R90*Ze-((Wfc-Wwp)*Ze-Z90-AA90)*P90)/(P90+Ze)-AA90))</f>
        <v>0</v>
      </c>
      <c r="AF90" s="39">
        <f ca="1">IF(((S90-AB90)/Q90-(R90-AA90)/P90)/Wfc*DiffR&lt;0,MAX(((S90-AB90)/Q90-(R90-AA90)/P90)/Wfc*DiffR,(S90*P90-(R90-AA90-AB90)*Q90)/(P90+Q90)-AB90),MIN(((S90-AB90)/Q90-(R90-AA90)/P90)/Wfc*DiffR,(S90*P90-(R90-AA90-AB90)*Q90)/(P90+Q90)-AB90))</f>
        <v>0</v>
      </c>
      <c r="AG90" s="99">
        <f ca="1">MIN(MAX(Y90+IF(AU90&gt;0,B90*AZ90/AU90,0)+BE90-AD90,0),TEW)</f>
        <v>0.233104478120672</v>
      </c>
      <c r="AH90" s="99">
        <f ca="1">MIN(MAX(Z90+IF(AV90&gt;0,B90*BA90/AV90,0)+BF90-AE90,0),TEW)</f>
        <v>0.159706970089994</v>
      </c>
      <c r="AI90" s="99">
        <f ca="1" t="shared" si="12"/>
        <v>0.351167651304265</v>
      </c>
      <c r="AJ90" s="99">
        <f ca="1" t="shared" si="13"/>
        <v>0</v>
      </c>
      <c r="AK90" s="70">
        <f ca="1">IF((AU90+AV90)&gt;0,(TEW-(AG90*AU90+AH90*AV90)/(AU90+AV90))/TEW,(TEW-(AG90+AH90)/2)/TEW)</f>
        <v>0.992962883679376</v>
      </c>
      <c r="AL90" s="70">
        <f ca="1" t="shared" si="14"/>
        <v>0.99323285823693</v>
      </c>
      <c r="AM90" s="70">
        <f ca="1" t="shared" si="15"/>
        <v>1</v>
      </c>
      <c r="AN90" s="70">
        <f ca="1">Wwp+(Wfc-Wwp)*IF((AU90+AV90)&gt;0,(TEW-(AG90*AU90+AH90*AV90)/(AU90+AV90))/TEW,(TEW-(AG90+AH90)/2)/TEW)</f>
        <v>0.399085174878319</v>
      </c>
      <c r="AO90" s="70">
        <f ca="1">Wwp+(Wfc-Wwp)*(R90-AI90)/R90</f>
        <v>0.399120271570801</v>
      </c>
      <c r="AP90" s="70">
        <f ca="1">Wwp+(Wfc-Wwp)*(S90-AJ90)/S90</f>
        <v>0.4</v>
      </c>
      <c r="AQ90" s="70"/>
      <c r="AR90" s="70"/>
      <c r="AS90" s="70"/>
      <c r="AT90" s="70"/>
      <c r="AU90" s="70">
        <f ca="1">MIN((1-G90),fw)</f>
        <v>0.417333333333333</v>
      </c>
      <c r="AV90" s="70">
        <f ca="1" t="shared" si="16"/>
        <v>0</v>
      </c>
      <c r="AW90" s="70">
        <f ca="1">MIN((TEW-Y90)/(TEW-REW),1)</f>
        <v>0.12727820001996</v>
      </c>
      <c r="AX90" s="70">
        <f ca="1">MIN((TEW-Z90)/(TEW-REW),1)</f>
        <v>0.12727820001996</v>
      </c>
      <c r="AY90" s="70">
        <f ca="1">IF((AU90*(TEW-Y90))&gt;0,1/(1+((AV90*(TEW-Z90))/(AU90*(TEW-Y90)))),0)</f>
        <v>1</v>
      </c>
      <c r="AZ90" s="70">
        <f ca="1">MIN((AY90*AW90*(Kcmax-H90)),AU90*Kcmax)</f>
        <v>0.0627689071409895</v>
      </c>
      <c r="BA90" s="70">
        <f ca="1">MIN(((1-AY90)*AX90*(Kcmax-H90)),AV90*Kcmax)</f>
        <v>0</v>
      </c>
      <c r="BB90" s="70">
        <f ca="1" t="shared" si="17"/>
        <v>0.0306312266848029</v>
      </c>
      <c r="BC90" s="70">
        <f ca="1">MIN((R90-AA90)/(R90*(1-(p+0.04*(5-I89)))),1)</f>
        <v>1</v>
      </c>
      <c r="BD90" s="10">
        <f ca="1" t="shared" si="18"/>
        <v>0.320536424619462</v>
      </c>
      <c r="BE90" s="70">
        <f ca="1">MIN(IF((1-AA90/R90)&gt;0,(1-Y90/TEW)/(1-AA90/R90)*(Ze/P90)^0.6,0),1)*BC90*H90*B90</f>
        <v>0.159706970089994</v>
      </c>
      <c r="BF90" s="70">
        <f ca="1">MIN(IF((1-AA90/R90)&gt;0,(1-Z90/TEW)/(1-AA90/R90)*(Ze/P90)^0.6,0),1)*BC90*H90*B90</f>
        <v>0.159706970089994</v>
      </c>
      <c r="BH90" s="10">
        <f ca="1" t="shared" si="19"/>
        <v>0.0193685258527539</v>
      </c>
      <c r="BI90" s="10">
        <f ca="1">IF(F90&lt;&gt;"",(Moy_Etobs-F90)^2,"")</f>
        <v>1.9512619240845</v>
      </c>
    </row>
    <row r="91" spans="1:61">
      <c r="A91" s="38">
        <v>39084</v>
      </c>
      <c r="B91" s="10">
        <v>0.807</v>
      </c>
      <c r="C91" s="39">
        <v>4.95</v>
      </c>
      <c r="D91">
        <v>0.59</v>
      </c>
      <c r="E91" s="39">
        <v>0</v>
      </c>
      <c r="F91" s="10">
        <v>0.6504894</v>
      </c>
      <c r="G91" s="10">
        <f ca="1">MIN(MAX(IF(AND(Durpla&gt;ROW()-MATCH(NDVImax,INDEX(D:D,Lig_min,1):INDEX(D:D,Lig_max,1),0)-Lig_min+1,ROW()-MATCH(NDVImax,INDEX(D:D,Lig_min,1):INDEX(D:D,Lig_max,1),0)-Lig_min+1&gt;0,D91*a_fc+b_fc&gt;fc_fin),NDVImax*a_fc+b_fc,D91*a_fc+b_fc),0),1)</f>
        <v>0.586666666666667</v>
      </c>
      <c r="H91" s="55">
        <f>MIN(MAX(D91*a_kcb+b_kcb,0),Kcmax)</f>
        <v>0.661346113743873</v>
      </c>
      <c r="I91" s="70">
        <f ca="1" t="shared" si="11"/>
        <v>0.583897668361184</v>
      </c>
      <c r="O91" s="55"/>
      <c r="P91" s="35">
        <f ca="1">IF(ROW()-MATCH(NDVImax,INDEX(D:D,Lig_min,1):INDEX(D:D,Lig_max,1),0)-Lig_min+1&gt;0,MAX(MIN(Zr_min+MAX(INDEX(G:G,Lig_min,1):INDEX(G:G,Lig_max,1))/MAX(MAX(INDEX(G:G,Lig_min,1):INDEX(G:G,Lig_max,1)),Max_fc_pour_Zrmax)*(Zr_max-Zr_min),Zr_max),Ze+0.001),MAX(MIN(Zr_min+G91/MAX(MAX(INDEX(G:G,Lig_min,1):INDEX(G:G,Lig_max,1)),Max_fc_pour_Zrmax)*(Zr_max-Zr_min),Zr_max),Ze+0.001))</f>
        <v>401.059560884765</v>
      </c>
      <c r="Q91" s="35">
        <f ca="1">IF(Z_sol&gt;0,Z_sol-P91,0.1)</f>
        <v>212.814990179669</v>
      </c>
      <c r="R91" s="35">
        <f ca="1">(Wfc-Wwp)*P91</f>
        <v>52.1377429150194</v>
      </c>
      <c r="S91" s="35">
        <f ca="1">(Wfc-Wwp)*Q91</f>
        <v>27.665948723357</v>
      </c>
      <c r="T91" s="99">
        <f ca="1" t="shared" si="20"/>
        <v>0.233104478120672</v>
      </c>
      <c r="U91" s="99">
        <f ca="1" t="shared" si="21"/>
        <v>0.159706970089994</v>
      </c>
      <c r="V91" s="99">
        <f ca="1">IF(P91&gt;P90,IF(Q91&gt;1,MAX(AI90+(Wfc-Wwp)*(P91-P90)*AJ90/S90,0),AI90/P90*P91),MAX(AI90+(Wfc-Wwp)*(P91-P90)*AI90/R90,0))</f>
        <v>0.351167651304265</v>
      </c>
      <c r="W91" s="99">
        <f ca="1">IF(S91&gt;1,IF(P91&gt;P90,MAX(AJ90-(Wfc-Wwp)*(P91-P90)*AJ90/S90,0),MAX(AJ90-(Wfc-Wwp)*(P91-P90)*AI90/R90,0)),0)</f>
        <v>0</v>
      </c>
      <c r="X91" s="99">
        <f ca="1">IF(AND(OR(AND(dec_vide_TAW&lt;0,V91&gt;R91*(p+0.04*(5-I90))),AND(dec_vide_TAW&gt;0,V91&gt;R91*dec_vide_TAW)),H91&gt;MAX(INDEX(H:H,Lig_min,1):INDEX(H:H,ROW(X91),1))*Kcbmax_stop_irrig*IF(ROW(X91)-lig_kcbmax&gt;0,1,0),MIN(INDEX(H:H,ROW(X91),1):INDEX(H:H,lig_kcbmax,1))&gt;Kcbmin_start_irrig),MIN(MAX(V91-E91*Irri_man-C91,0),Lame_max),0)</f>
        <v>0</v>
      </c>
      <c r="Y91" s="99">
        <f ca="1">MIN(MAX(T91-C91-IF(fw&gt;0,X91/fw*Irri_auto+E91/fw*Irri_man,0),0),TEW)</f>
        <v>0</v>
      </c>
      <c r="Z91" s="99">
        <f ca="1">MIN(MAX(U91-C91,0),TEW)</f>
        <v>0</v>
      </c>
      <c r="AA91" s="99">
        <f ca="1">MIN(MAX(V91-C91-(X91*Irri_auto+E91*Irri_man),0),R91)</f>
        <v>0</v>
      </c>
      <c r="AB91" s="99">
        <f ca="1">MIN(MAX(W91+MIN(V91-C91-(X91*Irri_auto+E91*Irri_man),0),0),S91)</f>
        <v>0</v>
      </c>
      <c r="AC91" s="99">
        <f ca="1">-MIN(W91+MIN(V91-C91-(X91*Irri_auto+E91*Irri_man),0),0)</f>
        <v>4.59883234869574</v>
      </c>
      <c r="AD91" s="39">
        <f ca="1">IF(((R91-AA91)/P91-((Wfc-Wwp)*Ze-Y91)/Ze)/Wfc*DiffE&lt;0,MAX(((R91-AA91)/P91-((Wfc-Wwp)*Ze-Y91)/Ze)/Wfc*DiffE,(R91*Ze-((Wfc-Wwp)*Ze-Y91-AA91)*P91)/(P91+Ze)-AA91),MIN(((R91-AA91)/P91-((Wfc-Wwp)*Ze-Y91)/Ze)/Wfc*DiffE,(R91*Ze-((Wfc-Wwp)*Ze-Y91-AA91)*P91)/(P91+Ze)-AA91))</f>
        <v>0</v>
      </c>
      <c r="AE91" s="39">
        <f ca="1">IF(((R91-AA91)/P91-((Wfc-Wwp)*Ze-Z91)/Ze)/Wfc*DiffE&lt;0,MAX(((R91-AA91)/P91-((Wfc-Wwp)*Ze-Z91)/Ze)/Wfc*DiffE,(R91*Ze-((Wfc-Wwp)*Ze-Z91-AA91)*P91)/(P91+Ze)-AA91),MIN(((R91-AA91)/P91-((Wfc-Wwp)*Ze-Z91)/Ze)/Wfc*DiffE,(R91*Ze-((Wfc-Wwp)*Ze-Z91-AA91)*P91)/(P91+Ze)-AA91))</f>
        <v>0</v>
      </c>
      <c r="AF91" s="39">
        <f ca="1">IF(((S91-AB91)/Q91-(R91-AA91)/P91)/Wfc*DiffR&lt;0,MAX(((S91-AB91)/Q91-(R91-AA91)/P91)/Wfc*DiffR,(S91*P91-(R91-AA91-AB91)*Q91)/(P91+Q91)-AB91),MIN(((S91-AB91)/Q91-(R91-AA91)/P91)/Wfc*DiffR,(S91*P91-(R91-AA91-AB91)*Q91)/(P91+Q91)-AB91))</f>
        <v>0</v>
      </c>
      <c r="AG91" s="99">
        <f ca="1">MIN(MAX(Y91+IF(AU91&gt;0,B91*AZ91/AU91,0)+BE91-AD91,0),TEW)</f>
        <v>0.386599863334443</v>
      </c>
      <c r="AH91" s="99">
        <f ca="1">MIN(MAX(Z91+IF(AV91&gt;0,B91*BA91/AV91,0)+BF91-AE91,0),TEW)</f>
        <v>0.265169166794414</v>
      </c>
      <c r="AI91" s="99">
        <f ca="1" t="shared" si="12"/>
        <v>0.583897668361184</v>
      </c>
      <c r="AJ91" s="99">
        <f ca="1" t="shared" si="13"/>
        <v>0</v>
      </c>
      <c r="AK91" s="70">
        <f ca="1">IF((AU91+AV91)&gt;0,(TEW-(AG91*AU91+AH91*AV91)/(AU91+AV91))/TEW,(TEW-(AG91+AH91)/2)/TEW)</f>
        <v>0.988329060729526</v>
      </c>
      <c r="AL91" s="70">
        <f ca="1" t="shared" si="14"/>
        <v>0.988800864101216</v>
      </c>
      <c r="AM91" s="70">
        <f ca="1" t="shared" si="15"/>
        <v>1</v>
      </c>
      <c r="AN91" s="70">
        <f ca="1">Wwp+(Wfc-Wwp)*IF((AU91+AV91)&gt;0,(TEW-(AG91*AU91+AH91*AV91)/(AU91+AV91))/TEW,(TEW-(AG91+AH91)/2)/TEW)</f>
        <v>0.398482777894838</v>
      </c>
      <c r="AO91" s="70">
        <f ca="1">Wwp+(Wfc-Wwp)*(R91-AI91)/R91</f>
        <v>0.398544112333158</v>
      </c>
      <c r="AP91" s="70">
        <f ca="1">Wwp+(Wfc-Wwp)*(S91-AJ91)/S91</f>
        <v>0.4</v>
      </c>
      <c r="AQ91" s="70"/>
      <c r="AR91" s="70"/>
      <c r="AS91" s="70"/>
      <c r="AT91" s="70"/>
      <c r="AU91" s="70">
        <f ca="1">MIN((1-G91),fw)</f>
        <v>0.413333333333333</v>
      </c>
      <c r="AV91" s="70">
        <f ca="1" t="shared" si="16"/>
        <v>0</v>
      </c>
      <c r="AW91" s="70">
        <f ca="1">MIN((TEW-Y91)/(TEW-REW),1)</f>
        <v>0.12727820001996</v>
      </c>
      <c r="AX91" s="70">
        <f ca="1">MIN((TEW-Z91)/(TEW-REW),1)</f>
        <v>0.12727820001996</v>
      </c>
      <c r="AY91" s="70">
        <f ca="1">IF((AU91*(TEW-Y91))&gt;0,1/(1+((AV91*(TEW-Z91))/(AU91*(TEW-Y91)))),0)</f>
        <v>1</v>
      </c>
      <c r="AZ91" s="70">
        <f ca="1">MIN((AY91*AW91*(Kcmax-H91)),AU91*Kcmax)</f>
        <v>0.0621949870754383</v>
      </c>
      <c r="BA91" s="70">
        <f ca="1">MIN(((1-AY91)*AX91*(Kcmax-H91)),AV91*Kcmax)</f>
        <v>0</v>
      </c>
      <c r="BB91" s="70">
        <f ca="1" t="shared" si="17"/>
        <v>0.0501913545698787</v>
      </c>
      <c r="BC91" s="70">
        <f ca="1">MIN((R91-AA91)/(R91*(1-(p+0.04*(5-I90)))),1)</f>
        <v>1</v>
      </c>
      <c r="BD91" s="10">
        <f ca="1" t="shared" si="18"/>
        <v>0.533706313791306</v>
      </c>
      <c r="BE91" s="70">
        <f ca="1">MIN(IF((1-AA91/R91)&gt;0,(1-Y91/TEW)/(1-AA91/R91)*(Ze/P91)^0.6,0),1)*BC91*H91*B91</f>
        <v>0.265169166794414</v>
      </c>
      <c r="BF91" s="70">
        <f ca="1">MIN(IF((1-AA91/R91)&gt;0,(1-Z91/TEW)/(1-AA91/R91)*(Ze/P91)^0.6,0),1)*BC91*H91*B91</f>
        <v>0.265169166794414</v>
      </c>
      <c r="BH91" s="10">
        <f ca="1" t="shared" si="19"/>
        <v>0.00443445872265606</v>
      </c>
      <c r="BI91" s="10">
        <f ca="1">IF(F91&lt;&gt;"",(Moy_Etobs-F91)^2,"")</f>
        <v>0.918498305528092</v>
      </c>
    </row>
    <row r="92" spans="1:61">
      <c r="A92" s="38">
        <v>39085</v>
      </c>
      <c r="B92" s="10">
        <v>0.395</v>
      </c>
      <c r="C92" s="39">
        <v>0</v>
      </c>
      <c r="D92">
        <v>0.594</v>
      </c>
      <c r="E92" s="39">
        <v>0</v>
      </c>
      <c r="F92" s="10">
        <v>0.4703526</v>
      </c>
      <c r="G92" s="10">
        <f ca="1">MIN(MAX(IF(AND(Durpla&gt;ROW()-MATCH(NDVImax,INDEX(D:D,Lig_min,1):INDEX(D:D,Lig_max,1),0)-Lig_min+1,ROW()-MATCH(NDVImax,INDEX(D:D,Lig_min,1):INDEX(D:D,Lig_max,1),0)-Lig_min+1&gt;0,D92*a_fc+b_fc&gt;fc_fin),NDVImax*a_fc+b_fc,D92*a_fc+b_fc),0),1)</f>
        <v>0.592</v>
      </c>
      <c r="H92" s="55">
        <f>MIN(MAX(D92*a_kcb+b_kcb,0),Kcmax)</f>
        <v>0.667358351141545</v>
      </c>
      <c r="I92" s="70">
        <f ca="1" t="shared" si="11"/>
        <v>0.287588111542018</v>
      </c>
      <c r="O92" s="55"/>
      <c r="P92" s="35">
        <f ca="1">IF(ROW()-MATCH(NDVImax,INDEX(D:D,Lig_min,1):INDEX(D:D,Lig_max,1),0)-Lig_min+1&gt;0,MAX(MIN(Zr_min+MAX(INDEX(G:G,Lig_min,1):INDEX(G:G,Lig_max,1))/MAX(MAX(INDEX(G:G,Lig_min,1):INDEX(G:G,Lig_max,1)),Max_fc_pour_Zrmax)*(Zr_max-Zr_min),Zr_max),Ze+0.001),MAX(MIN(Zr_min+G92/MAX(MAX(INDEX(G:G,Lig_min,1):INDEX(G:G,Lig_max,1)),Max_fc_pour_Zrmax)*(Zr_max-Zr_min),Zr_max),Ze+0.001))</f>
        <v>403.569193256445</v>
      </c>
      <c r="Q92" s="35">
        <f ca="1">IF(Z_sol&gt;0,Z_sol-P92,0.1)</f>
        <v>210.30535780799</v>
      </c>
      <c r="R92" s="35">
        <f ca="1">(Wfc-Wwp)*P92</f>
        <v>52.4639951233378</v>
      </c>
      <c r="S92" s="35">
        <f ca="1">(Wfc-Wwp)*Q92</f>
        <v>27.3396965150386</v>
      </c>
      <c r="T92" s="99">
        <f ca="1" t="shared" si="20"/>
        <v>0.386599863334443</v>
      </c>
      <c r="U92" s="99">
        <f ca="1" t="shared" si="21"/>
        <v>0.265169166794414</v>
      </c>
      <c r="V92" s="99">
        <f ca="1">IF(P92&gt;P91,IF(Q92&gt;1,MAX(AI91+(Wfc-Wwp)*(P92-P91)*AJ91/S91,0),AI91/P91*P92),MAX(AI91+(Wfc-Wwp)*(P92-P91)*AI91/R91,0))</f>
        <v>0.583897668361184</v>
      </c>
      <c r="W92" s="99">
        <f ca="1">IF(S92&gt;1,IF(P92&gt;P91,MAX(AJ91-(Wfc-Wwp)*(P92-P91)*AJ91/S91,0),MAX(AJ91-(Wfc-Wwp)*(P92-P91)*AI91/R91,0)),0)</f>
        <v>0</v>
      </c>
      <c r="X92" s="99">
        <f ca="1">IF(AND(OR(AND(dec_vide_TAW&lt;0,V92&gt;R92*(p+0.04*(5-I91))),AND(dec_vide_TAW&gt;0,V92&gt;R92*dec_vide_TAW)),H92&gt;MAX(INDEX(H:H,Lig_min,1):INDEX(H:H,ROW(X92),1))*Kcbmax_stop_irrig*IF(ROW(X92)-lig_kcbmax&gt;0,1,0),MIN(INDEX(H:H,ROW(X92),1):INDEX(H:H,lig_kcbmax,1))&gt;Kcbmin_start_irrig),MIN(MAX(V92-E92*Irri_man-C92,0),Lame_max),0)</f>
        <v>0</v>
      </c>
      <c r="Y92" s="99">
        <f ca="1">MIN(MAX(T92-C92-IF(fw&gt;0,X92/fw*Irri_auto+E92/fw*Irri_man,0),0),TEW)</f>
        <v>0.386599863334443</v>
      </c>
      <c r="Z92" s="99">
        <f ca="1">MIN(MAX(U92-C92,0),TEW)</f>
        <v>0.265169166794414</v>
      </c>
      <c r="AA92" s="99">
        <f ca="1">MIN(MAX(V92-C92-(X92*Irri_auto+E92*Irri_man),0),R92)</f>
        <v>0.583897668361184</v>
      </c>
      <c r="AB92" s="99">
        <f ca="1">MIN(MAX(W92+MIN(V92-C92-(X92*Irri_auto+E92*Irri_man),0),0),S92)</f>
        <v>0</v>
      </c>
      <c r="AC92" s="99">
        <f ca="1">-MIN(W92+MIN(V92-C92-(X92*Irri_auto+E92*Irri_man),0),0)</f>
        <v>0</v>
      </c>
      <c r="AD92" s="39">
        <f ca="1">IF(((R92-AA92)/P92-((Wfc-Wwp)*Ze-Y92)/Ze)/Wfc*DiffE&lt;0,MAX(((R92-AA92)/P92-((Wfc-Wwp)*Ze-Y92)/Ze)/Wfc*DiffE,(R92*Ze-((Wfc-Wwp)*Ze-Y92-AA92)*P92)/(P92+Ze)-AA92),MIN(((R92-AA92)/P92-((Wfc-Wwp)*Ze-Y92)/Ze)/Wfc*DiffE,(R92*Ze-((Wfc-Wwp)*Ze-Y92-AA92)*P92)/(P92+Ze)-AA92))</f>
        <v>4.11491203001824e-9</v>
      </c>
      <c r="AE92" s="39">
        <f ca="1">IF(((R92-AA92)/P92-((Wfc-Wwp)*Ze-Z92)/Ze)/Wfc*DiffE&lt;0,MAX(((R92-AA92)/P92-((Wfc-Wwp)*Ze-Z92)/Ze)/Wfc*DiffE,(R92*Ze-((Wfc-Wwp)*Ze-Z92-AA92)*P92)/(P92+Ze)-AA92),MIN(((R92-AA92)/P92-((Wfc-Wwp)*Ze-Z92)/Ze)/Wfc*DiffE,(R92*Ze-((Wfc-Wwp)*Ze-Z92-AA92)*P92)/(P92+Ze)-AA92))</f>
        <v>1.68629809921765e-9</v>
      </c>
      <c r="AF92" s="39">
        <f ca="1">IF(((S92-AB92)/Q92-(R92-AA92)/P92)/Wfc*DiffR&lt;0,MAX(((S92-AB92)/Q92-(R92-AA92)/P92)/Wfc*DiffR,(S92*P92-(R92-AA92-AB92)*Q92)/(P92+Q92)-AB92),MIN(((S92-AB92)/Q92-(R92-AA92)/P92)/Wfc*DiffR,(S92*P92-(R92-AA92-AB92)*Q92)/(P92+Q92)-AB92))</f>
        <v>3.61708523667063e-9</v>
      </c>
      <c r="AG92" s="99">
        <f ca="1">MIN(MAX(Y92+IF(AU92&gt;0,B92*AZ92/AU92,0)+BE92-AD92,0),TEW)</f>
        <v>0.575788993835707</v>
      </c>
      <c r="AH92" s="99">
        <f ca="1">MIN(MAX(Z92+IF(AV92&gt;0,B92*BA92/AV92,0)+BF92-AE92,0),TEW)</f>
        <v>0.396063668879493</v>
      </c>
      <c r="AI92" s="99">
        <f ca="1" t="shared" si="12"/>
        <v>0.871485776286117</v>
      </c>
      <c r="AJ92" s="99">
        <f ca="1" t="shared" si="13"/>
        <v>3.61708523667063e-9</v>
      </c>
      <c r="AK92" s="70">
        <f ca="1">IF((AU92+AV92)&gt;0,(TEW-(AG92*AU92+AH92*AV92)/(AU92+AV92))/TEW,(TEW-(AG92+AH92)/2)/TEW)</f>
        <v>0.98261769075213</v>
      </c>
      <c r="AL92" s="70">
        <f ca="1" t="shared" si="14"/>
        <v>0.983388878901858</v>
      </c>
      <c r="AM92" s="70">
        <f ca="1" t="shared" si="15"/>
        <v>0.999999999867698</v>
      </c>
      <c r="AN92" s="70">
        <f ca="1">Wwp+(Wfc-Wwp)*IF((AU92+AV92)&gt;0,(TEW-(AG92*AU92+AH92*AV92)/(AU92+AV92))/TEW,(TEW-(AG92+AH92)/2)/TEW)</f>
        <v>0.397740299797777</v>
      </c>
      <c r="AO92" s="70">
        <f ca="1">Wwp+(Wfc-Wwp)*(R92-AI92)/R92</f>
        <v>0.397840554257242</v>
      </c>
      <c r="AP92" s="70">
        <f ca="1">Wwp+(Wfc-Wwp)*(S92-AJ92)/S92</f>
        <v>0.399999999982801</v>
      </c>
      <c r="AQ92" s="70"/>
      <c r="AR92" s="70"/>
      <c r="AS92" s="70"/>
      <c r="AT92" s="70"/>
      <c r="AU92" s="70">
        <f ca="1">MIN((1-G92),fw)</f>
        <v>0.408</v>
      </c>
      <c r="AV92" s="70">
        <f ca="1" t="shared" si="16"/>
        <v>0</v>
      </c>
      <c r="AW92" s="70">
        <f ca="1">MIN((TEW-Y92)/(TEW-REW),1)</f>
        <v>0.125792743877072</v>
      </c>
      <c r="AX92" s="70">
        <f ca="1">MIN((TEW-Z92)/(TEW-REW),1)</f>
        <v>0.126259324419949</v>
      </c>
      <c r="AY92" s="70">
        <f ca="1">IF((AU92*(TEW-Y92))&gt;0,1/(1+((AV92*(TEW-Z92))/(AU92*(TEW-Y92)))),0)</f>
        <v>1</v>
      </c>
      <c r="AZ92" s="70">
        <f ca="1">MIN((AY92*AW92*(Kcmax-H92)),AU92*Kcmax)</f>
        <v>0.0607128173192595</v>
      </c>
      <c r="BA92" s="70">
        <f ca="1">MIN(((1-AY92)*AX92*(Kcmax-H92)),AV92*Kcmax)</f>
        <v>0</v>
      </c>
      <c r="BB92" s="70">
        <f ca="1" t="shared" si="17"/>
        <v>0.0239815628411075</v>
      </c>
      <c r="BC92" s="70">
        <f ca="1">MIN((R92-AA92)/(R92*(1-(p+0.04*(5-I91)))),1)</f>
        <v>1</v>
      </c>
      <c r="BD92" s="10">
        <f ca="1" t="shared" si="18"/>
        <v>0.26360654870091</v>
      </c>
      <c r="BE92" s="70">
        <f ca="1">MIN(IF((1-AA92/R92)&gt;0,(1-Y92/TEW)/(1-AA92/R92)*(Ze/P92)^0.6,0),1)*BC92*H92*B92</f>
        <v>0.130410794319344</v>
      </c>
      <c r="BF92" s="70">
        <f ca="1">MIN(IF((1-AA92/R92)&gt;0,(1-Z92/TEW)/(1-AA92/R92)*(Ze/P92)^0.6,0),1)*BC92*H92*B92</f>
        <v>0.130894503771376</v>
      </c>
      <c r="BH92" s="10">
        <f ca="1" t="shared" si="19"/>
        <v>0.033402858241308</v>
      </c>
      <c r="BI92" s="10">
        <f ca="1">IF(F92&lt;&gt;"",(Moy_Etobs-F92)^2,"")</f>
        <v>1.29622772801534</v>
      </c>
    </row>
    <row r="93" spans="1:61">
      <c r="A93" s="38">
        <v>39086</v>
      </c>
      <c r="B93" s="10">
        <v>0.916</v>
      </c>
      <c r="C93" s="39">
        <v>2.772</v>
      </c>
      <c r="D93">
        <v>0.597</v>
      </c>
      <c r="E93" s="39">
        <v>0</v>
      </c>
      <c r="F93" s="10">
        <v>0.5815422</v>
      </c>
      <c r="G93" s="10">
        <f ca="1">MIN(MAX(IF(AND(Durpla&gt;ROW()-MATCH(NDVImax,INDEX(D:D,Lig_min,1):INDEX(D:D,Lig_max,1),0)-Lig_min+1,ROW()-MATCH(NDVImax,INDEX(D:D,Lig_min,1):INDEX(D:D,Lig_max,1),0)-Lig_min+1&gt;0,D93*a_fc+b_fc&gt;fc_fin),NDVImax*a_fc+b_fc,D93*a_fc+b_fc),0),1)</f>
        <v>0.596</v>
      </c>
      <c r="H93" s="55">
        <f>MIN(MAX(D93*a_kcb+b_kcb,0),Kcmax)</f>
        <v>0.671867529189798</v>
      </c>
      <c r="I93" s="70">
        <f ca="1" t="shared" si="11"/>
        <v>0.671174606412185</v>
      </c>
      <c r="O93" s="55"/>
      <c r="P93" s="35">
        <f ca="1">IF(ROW()-MATCH(NDVImax,INDEX(D:D,Lig_min,1):INDEX(D:D,Lig_max,1),0)-Lig_min+1&gt;0,MAX(MIN(Zr_min+MAX(INDEX(G:G,Lig_min,1):INDEX(G:G,Lig_max,1))/MAX(MAX(INDEX(G:G,Lig_min,1):INDEX(G:G,Lig_max,1)),Max_fc_pour_Zrmax)*(Zr_max-Zr_min),Zr_max),Ze+0.001),MAX(MIN(Zr_min+G93/MAX(MAX(INDEX(G:G,Lig_min,1):INDEX(G:G,Lig_max,1)),Max_fc_pour_Zrmax)*(Zr_max-Zr_min),Zr_max),Ze+0.001))</f>
        <v>405.451417535204</v>
      </c>
      <c r="Q93" s="35">
        <f ca="1">IF(Z_sol&gt;0,Z_sol-P93,0.1)</f>
        <v>208.42313352923</v>
      </c>
      <c r="R93" s="35">
        <f ca="1">(Wfc-Wwp)*P93</f>
        <v>52.7086842795766</v>
      </c>
      <c r="S93" s="35">
        <f ca="1">(Wfc-Wwp)*Q93</f>
        <v>27.0950073587999</v>
      </c>
      <c r="T93" s="99">
        <f ca="1" t="shared" si="20"/>
        <v>0.575788993835707</v>
      </c>
      <c r="U93" s="99">
        <f ca="1" t="shared" si="21"/>
        <v>0.396063668879493</v>
      </c>
      <c r="V93" s="99">
        <f ca="1">IF(P93&gt;P92,IF(Q93&gt;1,MAX(AI92+(Wfc-Wwp)*(P93-P92)*AJ92/S92,0),AI92/P92*P93),MAX(AI92+(Wfc-Wwp)*(P93-P92)*AI92/R92,0))</f>
        <v>0.871485776318489</v>
      </c>
      <c r="W93" s="99">
        <f ca="1">IF(S93&gt;1,IF(P93&gt;P92,MAX(AJ92-(Wfc-Wwp)*(P93-P92)*AJ92/S92,0),MAX(AJ92-(Wfc-Wwp)*(P93-P92)*AI92/R92,0)),0)</f>
        <v>3.58471247298184e-9</v>
      </c>
      <c r="X93" s="99">
        <f ca="1">IF(AND(OR(AND(dec_vide_TAW&lt;0,V93&gt;R93*(p+0.04*(5-I92))),AND(dec_vide_TAW&gt;0,V93&gt;R93*dec_vide_TAW)),H93&gt;MAX(INDEX(H:H,Lig_min,1):INDEX(H:H,ROW(X93),1))*Kcbmax_stop_irrig*IF(ROW(X93)-lig_kcbmax&gt;0,1,0),MIN(INDEX(H:H,ROW(X93),1):INDEX(H:H,lig_kcbmax,1))&gt;Kcbmin_start_irrig),MIN(MAX(V93-E93*Irri_man-C93,0),Lame_max),0)</f>
        <v>0</v>
      </c>
      <c r="Y93" s="99">
        <f ca="1">MIN(MAX(T93-C93-IF(fw&gt;0,X93/fw*Irri_auto+E93/fw*Irri_man,0),0),TEW)</f>
        <v>0</v>
      </c>
      <c r="Z93" s="99">
        <f ca="1">MIN(MAX(U93-C93,0),TEW)</f>
        <v>0</v>
      </c>
      <c r="AA93" s="99">
        <f ca="1">MIN(MAX(V93-C93-(X93*Irri_auto+E93*Irri_man),0),R93)</f>
        <v>0</v>
      </c>
      <c r="AB93" s="99">
        <f ca="1">MIN(MAX(W93+MIN(V93-C93-(X93*Irri_auto+E93*Irri_man),0),0),S93)</f>
        <v>0</v>
      </c>
      <c r="AC93" s="99">
        <f ca="1">-MIN(W93+MIN(V93-C93-(X93*Irri_auto+E93*Irri_man),0),0)</f>
        <v>1.9005142200968</v>
      </c>
      <c r="AD93" s="39">
        <f ca="1">IF(((R93-AA93)/P93-((Wfc-Wwp)*Ze-Y93)/Ze)/Wfc*DiffE&lt;0,MAX(((R93-AA93)/P93-((Wfc-Wwp)*Ze-Y93)/Ze)/Wfc*DiffE,(R93*Ze-((Wfc-Wwp)*Ze-Y93-AA93)*P93)/(P93+Ze)-AA93),MIN(((R93-AA93)/P93-((Wfc-Wwp)*Ze-Y93)/Ze)/Wfc*DiffE,(R93*Ze-((Wfc-Wwp)*Ze-Y93-AA93)*P93)/(P93+Ze)-AA93))</f>
        <v>0</v>
      </c>
      <c r="AE93" s="39">
        <f ca="1">IF(((R93-AA93)/P93-((Wfc-Wwp)*Ze-Z93)/Ze)/Wfc*DiffE&lt;0,MAX(((R93-AA93)/P93-((Wfc-Wwp)*Ze-Z93)/Ze)/Wfc*DiffE,(R93*Ze-((Wfc-Wwp)*Ze-Z93-AA93)*P93)/(P93+Ze)-AA93),MIN(((R93-AA93)/P93-((Wfc-Wwp)*Ze-Z93)/Ze)/Wfc*DiffE,(R93*Ze-((Wfc-Wwp)*Ze-Z93-AA93)*P93)/(P93+Ze)-AA93))</f>
        <v>0</v>
      </c>
      <c r="AF93" s="39">
        <f ca="1">IF(((S93-AB93)/Q93-(R93-AA93)/P93)/Wfc*DiffR&lt;0,MAX(((S93-AB93)/Q93-(R93-AA93)/P93)/Wfc*DiffR,(S93*P93-(R93-AA93-AB93)*Q93)/(P93+Q93)-AB93),MIN(((S93-AB93)/Q93-(R93-AA93)/P93)/Wfc*DiffR,(S93*P93-(R93-AA93-AB93)*Q93)/(P93+Q93)-AB93))</f>
        <v>0</v>
      </c>
      <c r="AG93" s="99">
        <f ca="1">MIN(MAX(Y93+IF(AU93&gt;0,B93*AZ93/AU93,0)+BE93-AD93,0),TEW)</f>
        <v>0.441761935695332</v>
      </c>
      <c r="AH93" s="99">
        <f ca="1">MIN(MAX(Z93+IF(AV93&gt;0,B93*BA93/AV93,0)+BF93-AE93,0),TEW)</f>
        <v>0.30378186224402</v>
      </c>
      <c r="AI93" s="99">
        <f ca="1" t="shared" si="12"/>
        <v>0.671174606412185</v>
      </c>
      <c r="AJ93" s="99">
        <f ca="1" t="shared" si="13"/>
        <v>0</v>
      </c>
      <c r="AK93" s="70">
        <f ca="1">IF((AU93+AV93)&gt;0,(TEW-(AG93*AU93+AH93*AV93)/(AU93+AV93))/TEW,(TEW-(AG93+AH93)/2)/TEW)</f>
        <v>0.986663790620518</v>
      </c>
      <c r="AL93" s="70">
        <f ca="1" t="shared" si="14"/>
        <v>0.987266337310714</v>
      </c>
      <c r="AM93" s="70">
        <f ca="1" t="shared" si="15"/>
        <v>1</v>
      </c>
      <c r="AN93" s="70">
        <f ca="1">Wwp+(Wfc-Wwp)*IF((AU93+AV93)&gt;0,(TEW-(AG93*AU93+AH93*AV93)/(AU93+AV93))/TEW,(TEW-(AG93+AH93)/2)/TEW)</f>
        <v>0.398266292780667</v>
      </c>
      <c r="AO93" s="70">
        <f ca="1">Wwp+(Wfc-Wwp)*(R93-AI93)/R93</f>
        <v>0.398344623850393</v>
      </c>
      <c r="AP93" s="70">
        <f ca="1">Wwp+(Wfc-Wwp)*(S93-AJ93)/S93</f>
        <v>0.4</v>
      </c>
      <c r="AQ93" s="70"/>
      <c r="AR93" s="70"/>
      <c r="AS93" s="70"/>
      <c r="AT93" s="70"/>
      <c r="AU93" s="70">
        <f ca="1">MIN((1-G93),fw)</f>
        <v>0.404</v>
      </c>
      <c r="AV93" s="70">
        <f ca="1" t="shared" si="16"/>
        <v>0</v>
      </c>
      <c r="AW93" s="70">
        <f ca="1">MIN((TEW-Y93)/(TEW-REW),1)</f>
        <v>0.12727820001996</v>
      </c>
      <c r="AX93" s="70">
        <f ca="1">MIN((TEW-Z93)/(TEW-REW),1)</f>
        <v>0.12727820001996</v>
      </c>
      <c r="AY93" s="70">
        <f ca="1">IF((AU93*(TEW-Y93))&gt;0,1/(1+((AV93*(TEW-Z93))/(AU93*(TEW-Y93)))),0)</f>
        <v>1</v>
      </c>
      <c r="AZ93" s="70">
        <f ca="1">MIN((AY93*AW93*(Kcmax-H93)),AU93*Kcmax)</f>
        <v>0.0608558402558187</v>
      </c>
      <c r="BA93" s="70">
        <f ca="1">MIN(((1-AY93)*AX93*(Kcmax-H93)),AV93*Kcmax)</f>
        <v>0</v>
      </c>
      <c r="BB93" s="70">
        <f ca="1" t="shared" si="17"/>
        <v>0.0557439496743299</v>
      </c>
      <c r="BC93" s="70">
        <f ca="1">MIN((R93-AA93)/(R93*(1-(p+0.04*(5-I92)))),1)</f>
        <v>1</v>
      </c>
      <c r="BD93" s="10">
        <f ca="1" t="shared" si="18"/>
        <v>0.615430656737855</v>
      </c>
      <c r="BE93" s="70">
        <f ca="1">MIN(IF((1-AA93/R93)&gt;0,(1-Y93/TEW)/(1-AA93/R93)*(Ze/P93)^0.6,0),1)*BC93*H93*B93</f>
        <v>0.30378186224402</v>
      </c>
      <c r="BF93" s="70">
        <f ca="1">MIN(IF((1-AA93/R93)&gt;0,(1-Z93/TEW)/(1-AA93/R93)*(Ze/P93)^0.6,0),1)*BC93*H93*B93</f>
        <v>0.30378186224402</v>
      </c>
      <c r="BH93" s="10">
        <f ca="1" t="shared" si="19"/>
        <v>0.00803396827923911</v>
      </c>
      <c r="BI93" s="10">
        <f ca="1">IF(F93&lt;&gt;"",(Moy_Etobs-F93)^2,"")</f>
        <v>1.05540769447208</v>
      </c>
    </row>
    <row r="94" spans="1:61">
      <c r="A94" s="38">
        <v>39087</v>
      </c>
      <c r="B94" s="10">
        <v>0.489</v>
      </c>
      <c r="C94" s="39">
        <v>0.792</v>
      </c>
      <c r="D94">
        <v>0.6</v>
      </c>
      <c r="E94" s="39">
        <v>0</v>
      </c>
      <c r="F94" s="10">
        <v>0.515403</v>
      </c>
      <c r="G94" s="10">
        <f ca="1">MIN(MAX(IF(AND(Durpla&gt;ROW()-MATCH(NDVImax,INDEX(D:D,Lig_min,1):INDEX(D:D,Lig_max,1),0)-Lig_min+1,ROW()-MATCH(NDVImax,INDEX(D:D,Lig_min,1):INDEX(D:D,Lig_max,1),0)-Lig_min+1&gt;0,D94*a_fc+b_fc&gt;fc_fin),NDVImax*a_fc+b_fc,D94*a_fc+b_fc),0),1)</f>
        <v>0.6</v>
      </c>
      <c r="H94" s="55">
        <f>MIN(MAX(D94*a_kcb+b_kcb,0),Kcmax)</f>
        <v>0.676376707238052</v>
      </c>
      <c r="I94" s="70">
        <f ca="1" t="shared" si="11"/>
        <v>0.360226068812448</v>
      </c>
      <c r="O94" s="55"/>
      <c r="P94" s="35">
        <f ca="1">IF(ROW()-MATCH(NDVImax,INDEX(D:D,Lig_min,1):INDEX(D:D,Lig_max,1),0)-Lig_min+1&gt;0,MAX(MIN(Zr_min+MAX(INDEX(G:G,Lig_min,1):INDEX(G:G,Lig_max,1))/MAX(MAX(INDEX(G:G,Lig_min,1):INDEX(G:G,Lig_max,1)),Max_fc_pour_Zrmax)*(Zr_max-Zr_min),Zr_max),Ze+0.001),MAX(MIN(Zr_min+G94/MAX(MAX(INDEX(G:G,Lig_min,1):INDEX(G:G,Lig_max,1)),Max_fc_pour_Zrmax)*(Zr_max-Zr_min),Zr_max),Ze+0.001))</f>
        <v>407.333641813964</v>
      </c>
      <c r="Q94" s="35">
        <f ca="1">IF(Z_sol&gt;0,Z_sol-P94,0.1)</f>
        <v>206.54090925047</v>
      </c>
      <c r="R94" s="35">
        <f ca="1">(Wfc-Wwp)*P94</f>
        <v>52.9533734358153</v>
      </c>
      <c r="S94" s="35">
        <f ca="1">(Wfc-Wwp)*Q94</f>
        <v>26.8503182025611</v>
      </c>
      <c r="T94" s="99">
        <f ca="1" t="shared" si="20"/>
        <v>0.441761935695332</v>
      </c>
      <c r="U94" s="99">
        <f ca="1" t="shared" si="21"/>
        <v>0.30378186224402</v>
      </c>
      <c r="V94" s="99">
        <f ca="1">IF(P94&gt;P93,IF(Q94&gt;1,MAX(AI93+(Wfc-Wwp)*(P94-P93)*AJ93/S93,0),AI93/P93*P94),MAX(AI93+(Wfc-Wwp)*(P94-P93)*AI93/R93,0))</f>
        <v>0.671174606412185</v>
      </c>
      <c r="W94" s="99">
        <f ca="1">IF(S94&gt;1,IF(P94&gt;P93,MAX(AJ93-(Wfc-Wwp)*(P94-P93)*AJ93/S93,0),MAX(AJ93-(Wfc-Wwp)*(P94-P93)*AI93/R93,0)),0)</f>
        <v>0</v>
      </c>
      <c r="X94" s="99">
        <f ca="1">IF(AND(OR(AND(dec_vide_TAW&lt;0,V94&gt;R94*(p+0.04*(5-I93))),AND(dec_vide_TAW&gt;0,V94&gt;R94*dec_vide_TAW)),H94&gt;MAX(INDEX(H:H,Lig_min,1):INDEX(H:H,ROW(X94),1))*Kcbmax_stop_irrig*IF(ROW(X94)-lig_kcbmax&gt;0,1,0),MIN(INDEX(H:H,ROW(X94),1):INDEX(H:H,lig_kcbmax,1))&gt;Kcbmin_start_irrig),MIN(MAX(V94-E94*Irri_man-C94,0),Lame_max),0)</f>
        <v>0</v>
      </c>
      <c r="Y94" s="99">
        <f ca="1">MIN(MAX(T94-C94-IF(fw&gt;0,X94/fw*Irri_auto+E94/fw*Irri_man,0),0),TEW)</f>
        <v>0</v>
      </c>
      <c r="Z94" s="99">
        <f ca="1">MIN(MAX(U94-C94,0),TEW)</f>
        <v>0</v>
      </c>
      <c r="AA94" s="99">
        <f ca="1">MIN(MAX(V94-C94-(X94*Irri_auto+E94*Irri_man),0),R94)</f>
        <v>0</v>
      </c>
      <c r="AB94" s="99">
        <f ca="1">MIN(MAX(W94+MIN(V94-C94-(X94*Irri_auto+E94*Irri_man),0),0),S94)</f>
        <v>0</v>
      </c>
      <c r="AC94" s="99">
        <f ca="1">-MIN(W94+MIN(V94-C94-(X94*Irri_auto+E94*Irri_man),0),0)</f>
        <v>0.120825393587815</v>
      </c>
      <c r="AD94" s="39">
        <f ca="1">IF(((R94-AA94)/P94-((Wfc-Wwp)*Ze-Y94)/Ze)/Wfc*DiffE&lt;0,MAX(((R94-AA94)/P94-((Wfc-Wwp)*Ze-Y94)/Ze)/Wfc*DiffE,(R94*Ze-((Wfc-Wwp)*Ze-Y94-AA94)*P94)/(P94+Ze)-AA94),MIN(((R94-AA94)/P94-((Wfc-Wwp)*Ze-Y94)/Ze)/Wfc*DiffE,(R94*Ze-((Wfc-Wwp)*Ze-Y94-AA94)*P94)/(P94+Ze)-AA94))</f>
        <v>0</v>
      </c>
      <c r="AE94" s="39">
        <f ca="1">IF(((R94-AA94)/P94-((Wfc-Wwp)*Ze-Z94)/Ze)/Wfc*DiffE&lt;0,MAX(((R94-AA94)/P94-((Wfc-Wwp)*Ze-Z94)/Ze)/Wfc*DiffE,(R94*Ze-((Wfc-Wwp)*Ze-Z94-AA94)*P94)/(P94+Ze)-AA94),MIN(((R94-AA94)/P94-((Wfc-Wwp)*Ze-Z94)/Ze)/Wfc*DiffE,(R94*Ze-((Wfc-Wwp)*Ze-Z94-AA94)*P94)/(P94+Ze)-AA94))</f>
        <v>0</v>
      </c>
      <c r="AF94" s="39">
        <f ca="1">IF(((S94-AB94)/Q94-(R94-AA94)/P94)/Wfc*DiffR&lt;0,MAX(((S94-AB94)/Q94-(R94-AA94)/P94)/Wfc*DiffR,(S94*P94-(R94-AA94-AB94)*Q94)/(P94+Q94)-AB94),MIN(((S94-AB94)/Q94-(R94-AA94)/P94)/Wfc*DiffR,(S94*P94-(R94-AA94-AB94)*Q94)/(P94+Q94)-AB94))</f>
        <v>0</v>
      </c>
      <c r="AG94" s="99">
        <f ca="1">MIN(MAX(Y94+IF(AU94&gt;0,B94*AZ94/AU94,0)+BE94-AD94,0),TEW)</f>
        <v>0.236501748001495</v>
      </c>
      <c r="AH94" s="99">
        <f ca="1">MIN(MAX(Z94+IF(AV94&gt;0,B94*BA94/AV94,0)+BF94-AE94,0),TEW)</f>
        <v>0.162807100568893</v>
      </c>
      <c r="AI94" s="99">
        <f ca="1" t="shared" si="12"/>
        <v>0.360226068812448</v>
      </c>
      <c r="AJ94" s="99">
        <f ca="1" t="shared" si="13"/>
        <v>0</v>
      </c>
      <c r="AK94" s="70">
        <f ca="1">IF((AU94+AV94)&gt;0,(TEW-(AG94*AU94+AH94*AV94)/(AU94+AV94))/TEW,(TEW-(AG94+AH94)/2)/TEW)</f>
        <v>0.992860324588634</v>
      </c>
      <c r="AL94" s="70">
        <f ca="1" t="shared" si="14"/>
        <v>0.993197297066464</v>
      </c>
      <c r="AM94" s="70">
        <f ca="1" t="shared" si="15"/>
        <v>1</v>
      </c>
      <c r="AN94" s="70">
        <f ca="1">Wwp+(Wfc-Wwp)*IF((AU94+AV94)&gt;0,(TEW-(AG94*AU94+AH94*AV94)/(AU94+AV94))/TEW,(TEW-(AG94+AH94)/2)/TEW)</f>
        <v>0.399071842196522</v>
      </c>
      <c r="AO94" s="70">
        <f ca="1">Wwp+(Wfc-Wwp)*(R94-AI94)/R94</f>
        <v>0.39911564861864</v>
      </c>
      <c r="AP94" s="70">
        <f ca="1">Wwp+(Wfc-Wwp)*(S94-AJ94)/S94</f>
        <v>0.4</v>
      </c>
      <c r="AQ94" s="70"/>
      <c r="AR94" s="70"/>
      <c r="AS94" s="70"/>
      <c r="AT94" s="70"/>
      <c r="AU94" s="70">
        <f ca="1">MIN((1-G94),fw)</f>
        <v>0.4</v>
      </c>
      <c r="AV94" s="70">
        <f ca="1" t="shared" si="16"/>
        <v>0</v>
      </c>
      <c r="AW94" s="70">
        <f ca="1">MIN((TEW-Y94)/(TEW-REW),1)</f>
        <v>0.12727820001996</v>
      </c>
      <c r="AX94" s="70">
        <f ca="1">MIN((TEW-Z94)/(TEW-REW),1)</f>
        <v>0.12727820001996</v>
      </c>
      <c r="AY94" s="70">
        <f ca="1">IF((AU94*(TEW-Y94))&gt;0,1/(1+((AV94*(TEW-Z94))/(AU94*(TEW-Y94)))),0)</f>
        <v>1</v>
      </c>
      <c r="AZ94" s="70">
        <f ca="1">MIN((AY94*AW94*(Kcmax-H94)),AU94*Kcmax)</f>
        <v>0.0602819201902674</v>
      </c>
      <c r="BA94" s="70">
        <f ca="1">MIN(((1-AY94)*AX94*(Kcmax-H94)),AV94*Kcmax)</f>
        <v>0</v>
      </c>
      <c r="BB94" s="70">
        <f ca="1" t="shared" si="17"/>
        <v>0.0294778589730408</v>
      </c>
      <c r="BC94" s="70">
        <f ca="1">MIN((R94-AA94)/(R94*(1-(p+0.04*(5-I93)))),1)</f>
        <v>1</v>
      </c>
      <c r="BD94" s="10">
        <f ca="1" t="shared" si="18"/>
        <v>0.330748209839407</v>
      </c>
      <c r="BE94" s="70">
        <f ca="1">MIN(IF((1-AA94/R94)&gt;0,(1-Y94/TEW)/(1-AA94/R94)*(Ze/P94)^0.6,0),1)*BC94*H94*B94</f>
        <v>0.162807100568893</v>
      </c>
      <c r="BF94" s="70">
        <f ca="1">MIN(IF((1-AA94/R94)&gt;0,(1-Z94/TEW)/(1-AA94/R94)*(Ze/P94)^0.6,0),1)*BC94*H94*B94</f>
        <v>0.162807100568893</v>
      </c>
      <c r="BH94" s="10">
        <f ca="1" t="shared" si="19"/>
        <v>0.0240798799727862</v>
      </c>
      <c r="BI94" s="10">
        <f ca="1">IF(F94&lt;&gt;"",(Moy_Etobs-F94)^2,"")</f>
        <v>1.19567570620802</v>
      </c>
    </row>
    <row r="95" spans="1:61">
      <c r="A95" s="38">
        <v>39088</v>
      </c>
      <c r="B95" s="10">
        <v>0.446</v>
      </c>
      <c r="C95" s="39">
        <v>0</v>
      </c>
      <c r="D95">
        <v>0.603</v>
      </c>
      <c r="E95" s="39">
        <v>0</v>
      </c>
      <c r="F95" s="10">
        <v>0.4943772</v>
      </c>
      <c r="G95" s="10">
        <f ca="1">MIN(MAX(IF(AND(Durpla&gt;ROW()-MATCH(NDVImax,INDEX(D:D,Lig_min,1):INDEX(D:D,Lig_max,1),0)-Lig_min+1,ROW()-MATCH(NDVImax,INDEX(D:D,Lig_min,1):INDEX(D:D,Lig_max,1),0)-Lig_min+1&gt;0,D95*a_fc+b_fc&gt;fc_fin),NDVImax*a_fc+b_fc,D95*a_fc+b_fc),0),1)</f>
        <v>0.604</v>
      </c>
      <c r="H95" s="55">
        <f>MIN(MAX(D95*a_kcb+b_kcb,0),Kcmax)</f>
        <v>0.680885885286306</v>
      </c>
      <c r="I95" s="70">
        <f ca="1" t="shared" si="11"/>
        <v>0.330114744993119</v>
      </c>
      <c r="O95" s="55"/>
      <c r="P95" s="35">
        <f ca="1">IF(ROW()-MATCH(NDVImax,INDEX(D:D,Lig_min,1):INDEX(D:D,Lig_max,1),0)-Lig_min+1&gt;0,MAX(MIN(Zr_min+MAX(INDEX(G:G,Lig_min,1):INDEX(G:G,Lig_max,1))/MAX(MAX(INDEX(G:G,Lig_min,1):INDEX(G:G,Lig_max,1)),Max_fc_pour_Zrmax)*(Zr_max-Zr_min),Zr_max),Ze+0.001),MAX(MIN(Zr_min+G95/MAX(MAX(INDEX(G:G,Lig_min,1):INDEX(G:G,Lig_max,1)),Max_fc_pour_Zrmax)*(Zr_max-Zr_min),Zr_max),Ze+0.001))</f>
        <v>409.215866092724</v>
      </c>
      <c r="Q95" s="35">
        <f ca="1">IF(Z_sol&gt;0,Z_sol-P95,0.1)</f>
        <v>204.65868497171</v>
      </c>
      <c r="R95" s="35">
        <f ca="1">(Wfc-Wwp)*P95</f>
        <v>53.1980625920541</v>
      </c>
      <c r="S95" s="35">
        <f ca="1">(Wfc-Wwp)*Q95</f>
        <v>26.6056290463223</v>
      </c>
      <c r="T95" s="99">
        <f ca="1" t="shared" si="20"/>
        <v>0.236501748001495</v>
      </c>
      <c r="U95" s="99">
        <f ca="1" t="shared" si="21"/>
        <v>0.162807100568893</v>
      </c>
      <c r="V95" s="99">
        <f ca="1">IF(P95&gt;P94,IF(Q95&gt;1,MAX(AI94+(Wfc-Wwp)*(P95-P94)*AJ94/S94,0),AI94/P94*P95),MAX(AI94+(Wfc-Wwp)*(P95-P94)*AI94/R94,0))</f>
        <v>0.360226068812448</v>
      </c>
      <c r="W95" s="99">
        <f ca="1">IF(S95&gt;1,IF(P95&gt;P94,MAX(AJ94-(Wfc-Wwp)*(P95-P94)*AJ94/S94,0),MAX(AJ94-(Wfc-Wwp)*(P95-P94)*AI94/R94,0)),0)</f>
        <v>0</v>
      </c>
      <c r="X95" s="99">
        <f ca="1">IF(AND(OR(AND(dec_vide_TAW&lt;0,V95&gt;R95*(p+0.04*(5-I94))),AND(dec_vide_TAW&gt;0,V95&gt;R95*dec_vide_TAW)),H95&gt;MAX(INDEX(H:H,Lig_min,1):INDEX(H:H,ROW(X95),1))*Kcbmax_stop_irrig*IF(ROW(X95)-lig_kcbmax&gt;0,1,0),MIN(INDEX(H:H,ROW(X95),1):INDEX(H:H,lig_kcbmax,1))&gt;Kcbmin_start_irrig),MIN(MAX(V95-E95*Irri_man-C95,0),Lame_max),0)</f>
        <v>0</v>
      </c>
      <c r="Y95" s="99">
        <f ca="1">MIN(MAX(T95-C95-IF(fw&gt;0,X95/fw*Irri_auto+E95/fw*Irri_man,0),0),TEW)</f>
        <v>0.236501748001495</v>
      </c>
      <c r="Z95" s="99">
        <f ca="1">MIN(MAX(U95-C95,0),TEW)</f>
        <v>0.162807100568893</v>
      </c>
      <c r="AA95" s="99">
        <f ca="1">MIN(MAX(V95-C95-(X95*Irri_auto+E95*Irri_man),0),R95)</f>
        <v>0.360226068812448</v>
      </c>
      <c r="AB95" s="99">
        <f ca="1">MIN(MAX(W95+MIN(V95-C95-(X95*Irri_auto+E95*Irri_man),0),0),S95)</f>
        <v>0</v>
      </c>
      <c r="AC95" s="99">
        <f ca="1">-MIN(W95+MIN(V95-C95-(X95*Irri_auto+E95*Irri_man),0),0)</f>
        <v>0</v>
      </c>
      <c r="AD95" s="39">
        <f ca="1">IF(((R95-AA95)/P95-((Wfc-Wwp)*Ze-Y95)/Ze)/Wfc*DiffE&lt;0,MAX(((R95-AA95)/P95-((Wfc-Wwp)*Ze-Y95)/Ze)/Wfc*DiffE,(R95*Ze-((Wfc-Wwp)*Ze-Y95-AA95)*P95)/(P95+Ze)-AA95),MIN(((R95-AA95)/P95-((Wfc-Wwp)*Ze-Y95)/Ze)/Wfc*DiffE,(R95*Ze-((Wfc-Wwp)*Ze-Y95-AA95)*P95)/(P95+Ze)-AA95))</f>
        <v>2.52932563604917e-9</v>
      </c>
      <c r="AE95" s="39">
        <f ca="1">IF(((R95-AA95)/P95-((Wfc-Wwp)*Ze-Z95)/Ze)/Wfc*DiffE&lt;0,MAX(((R95-AA95)/P95-((Wfc-Wwp)*Ze-Z95)/Ze)/Wfc*DiffE,(R95*Ze-((Wfc-Wwp)*Ze-Z95-AA95)*P95)/(P95+Ze)-AA95),MIN(((R95-AA95)/P95-((Wfc-Wwp)*Ze-Z95)/Ze)/Wfc*DiffE,(R95*Ze-((Wfc-Wwp)*Ze-Z95-AA95)*P95)/(P95+Ze)-AA95))</f>
        <v>1.05543268739718e-9</v>
      </c>
      <c r="AF95" s="39">
        <f ca="1">IF(((S95-AB95)/Q95-(R95-AA95)/P95)/Wfc*DiffR&lt;0,MAX(((S95-AB95)/Q95-(R95-AA95)/P95)/Wfc*DiffR,(S95*P95-(R95-AA95-AB95)*Q95)/(P95+Q95)-AB95),MIN(((S95-AB95)/Q95-(R95-AA95)/P95)/Wfc*DiffR,(S95*P95-(R95-AA95-AB95)*Q95)/(P95+Q95)-AB95))</f>
        <v>2.20070932398071e-9</v>
      </c>
      <c r="AG95" s="99">
        <f ca="1">MIN(MAX(Y95+IF(AU95&gt;0,B95*AZ95/AU95,0)+BE95-AD95,0),TEW)</f>
        <v>0.452281001259333</v>
      </c>
      <c r="AH95" s="99">
        <f ca="1">MIN(MAX(Z95+IF(AV95&gt;0,B95*BA95/AV95,0)+BF95-AE95,0),TEW)</f>
        <v>0.31215348580774</v>
      </c>
      <c r="AI95" s="99">
        <f ca="1" t="shared" si="12"/>
        <v>0.690340811604857</v>
      </c>
      <c r="AJ95" s="99">
        <f ca="1" t="shared" si="13"/>
        <v>2.20070932398071e-9</v>
      </c>
      <c r="AK95" s="70">
        <f ca="1">IF((AU95+AV95)&gt;0,(TEW-(AG95*AU95+AH95*AV95)/(AU95+AV95))/TEW,(TEW-(AG95+AH95)/2)/TEW)</f>
        <v>0.986346233924247</v>
      </c>
      <c r="AL95" s="70">
        <f ca="1" t="shared" si="14"/>
        <v>0.987023196372795</v>
      </c>
      <c r="AM95" s="70">
        <f ca="1" t="shared" si="15"/>
        <v>0.999999999917284</v>
      </c>
      <c r="AN95" s="70">
        <f ca="1">Wwp+(Wfc-Wwp)*IF((AU95+AV95)&gt;0,(TEW-(AG95*AU95+AH95*AV95)/(AU95+AV95))/TEW,(TEW-(AG95+AH95)/2)/TEW)</f>
        <v>0.398225010410152</v>
      </c>
      <c r="AO95" s="70">
        <f ca="1">Wwp+(Wfc-Wwp)*(R95-AI95)/R95</f>
        <v>0.398313015528463</v>
      </c>
      <c r="AP95" s="70">
        <f ca="1">Wwp+(Wfc-Wwp)*(S95-AJ95)/S95</f>
        <v>0.399999999989247</v>
      </c>
      <c r="AQ95" s="70"/>
      <c r="AR95" s="70"/>
      <c r="AS95" s="70"/>
      <c r="AT95" s="70"/>
      <c r="AU95" s="70">
        <f ca="1">MIN((1-G95),fw)</f>
        <v>0.396</v>
      </c>
      <c r="AV95" s="70">
        <f ca="1" t="shared" si="16"/>
        <v>0</v>
      </c>
      <c r="AW95" s="70">
        <f ca="1">MIN((TEW-Y95)/(TEW-REW),1)</f>
        <v>0.126369474984875</v>
      </c>
      <c r="AX95" s="70">
        <f ca="1">MIN((TEW-Z95)/(TEW-REW),1)</f>
        <v>0.126652636406047</v>
      </c>
      <c r="AY95" s="70">
        <f ca="1">IF((AU95*(TEW-Y95))&gt;0,1/(1+((AV95*(TEW-Z95))/(AU95*(TEW-Y95)))),0)</f>
        <v>1</v>
      </c>
      <c r="AZ95" s="70">
        <f ca="1">MIN((AY95*AW95*(Kcmax-H95)),AU95*Kcmax)</f>
        <v>0.0592817043843639</v>
      </c>
      <c r="BA95" s="70">
        <f ca="1">MIN(((1-AY95)*AX95*(Kcmax-H95)),AV95*Kcmax)</f>
        <v>0</v>
      </c>
      <c r="BB95" s="70">
        <f ca="1" t="shared" si="17"/>
        <v>0.0264396401554263</v>
      </c>
      <c r="BC95" s="70">
        <f ca="1">MIN((R95-AA95)/(R95*(1-(p+0.04*(5-I94)))),1)</f>
        <v>1</v>
      </c>
      <c r="BD95" s="10">
        <f ca="1" t="shared" si="18"/>
        <v>0.303675104837692</v>
      </c>
      <c r="BE95" s="70">
        <f ca="1">MIN(IF((1-AA95/R95)&gt;0,(1-Y95/TEW)/(1-AA95/R95)*(Ze/P95)^0.6,0),1)*BC95*H95*B95</f>
        <v>0.149012487717905</v>
      </c>
      <c r="BF95" s="70">
        <f ca="1">MIN(IF((1-AA95/R95)&gt;0,(1-Z95/TEW)/(1-AA95/R95)*(Ze/P95)^0.6,0),1)*BC95*H95*B95</f>
        <v>0.149346386294279</v>
      </c>
      <c r="BH95" s="10">
        <f ca="1" t="shared" si="19"/>
        <v>0.0269821541248877</v>
      </c>
      <c r="BI95" s="10">
        <f ca="1">IF(F95&lt;&gt;"",(Moy_Etobs-F95)^2,"")</f>
        <v>1.24209993555292</v>
      </c>
    </row>
    <row r="96" spans="1:61">
      <c r="A96" s="38">
        <v>39089</v>
      </c>
      <c r="B96" s="10">
        <v>0.435</v>
      </c>
      <c r="C96" s="39">
        <v>0.396</v>
      </c>
      <c r="D96">
        <v>0.606</v>
      </c>
      <c r="E96" s="39">
        <v>0</v>
      </c>
      <c r="F96" s="10">
        <v>0.4599018</v>
      </c>
      <c r="G96" s="10">
        <f ca="1">MIN(MAX(IF(AND(Durpla&gt;ROW()-MATCH(NDVImax,INDEX(D:D,Lig_min,1):INDEX(D:D,Lig_max,1),0)-Lig_min+1,ROW()-MATCH(NDVImax,INDEX(D:D,Lig_min,1):INDEX(D:D,Lig_max,1),0)-Lig_min+1&gt;0,D96*a_fc+b_fc&gt;fc_fin),NDVImax*a_fc+b_fc,D96*a_fc+b_fc),0),1)</f>
        <v>0.608</v>
      </c>
      <c r="H96" s="55">
        <f>MIN(MAX(D96*a_kcb+b_kcb,0),Kcmax)</f>
        <v>0.685395063334559</v>
      </c>
      <c r="I96" s="70">
        <f ca="1" t="shared" si="11"/>
        <v>0.323826472184514</v>
      </c>
      <c r="O96" s="55"/>
      <c r="P96" s="35">
        <f ca="1">IF(ROW()-MATCH(NDVImax,INDEX(D:D,Lig_min,1):INDEX(D:D,Lig_max,1),0)-Lig_min+1&gt;0,MAX(MIN(Zr_min+MAX(INDEX(G:G,Lig_min,1):INDEX(G:G,Lig_max,1))/MAX(MAX(INDEX(G:G,Lig_min,1):INDEX(G:G,Lig_max,1)),Max_fc_pour_Zrmax)*(Zr_max-Zr_min),Zr_max),Ze+0.001),MAX(MIN(Zr_min+G96/MAX(MAX(INDEX(G:G,Lig_min,1):INDEX(G:G,Lig_max,1)),Max_fc_pour_Zrmax)*(Zr_max-Zr_min),Zr_max),Ze+0.001))</f>
        <v>411.098090371484</v>
      </c>
      <c r="Q96" s="35">
        <f ca="1">IF(Z_sol&gt;0,Z_sol-P96,0.1)</f>
        <v>202.776460692951</v>
      </c>
      <c r="R96" s="35">
        <f ca="1">(Wfc-Wwp)*P96</f>
        <v>53.4427517482929</v>
      </c>
      <c r="S96" s="35">
        <f ca="1">(Wfc-Wwp)*Q96</f>
        <v>26.3609398900836</v>
      </c>
      <c r="T96" s="99">
        <f ca="1" t="shared" si="20"/>
        <v>0.452281001259333</v>
      </c>
      <c r="U96" s="99">
        <f ca="1" t="shared" si="21"/>
        <v>0.31215348580774</v>
      </c>
      <c r="V96" s="99">
        <f ca="1">IF(P96&gt;P95,IF(Q96&gt;1,MAX(AI95+(Wfc-Wwp)*(P96-P95)*AJ95/S95,0),AI95/P95*P96),MAX(AI95+(Wfc-Wwp)*(P96-P95)*AI95/R95,0))</f>
        <v>0.690340811625097</v>
      </c>
      <c r="W96" s="99">
        <f ca="1">IF(S96&gt;1,IF(P96&gt;P95,MAX(AJ95-(Wfc-Wwp)*(P96-P95)*AJ95/S95,0),MAX(AJ95-(Wfc-Wwp)*(P96-P95)*AI95/R95,0)),0)</f>
        <v>2.18046963309898e-9</v>
      </c>
      <c r="X96" s="99">
        <f ca="1">IF(AND(OR(AND(dec_vide_TAW&lt;0,V96&gt;R96*(p+0.04*(5-I95))),AND(dec_vide_TAW&gt;0,V96&gt;R96*dec_vide_TAW)),H96&gt;MAX(INDEX(H:H,Lig_min,1):INDEX(H:H,ROW(X96),1))*Kcbmax_stop_irrig*IF(ROW(X96)-lig_kcbmax&gt;0,1,0),MIN(INDEX(H:H,ROW(X96),1):INDEX(H:H,lig_kcbmax,1))&gt;Kcbmin_start_irrig),MIN(MAX(V96-E96*Irri_man-C96,0),Lame_max),0)</f>
        <v>0</v>
      </c>
      <c r="Y96" s="99">
        <f ca="1">MIN(MAX(T96-C96-IF(fw&gt;0,X96/fw*Irri_auto+E96/fw*Irri_man,0),0),TEW)</f>
        <v>0.0562810012593328</v>
      </c>
      <c r="Z96" s="99">
        <f ca="1">MIN(MAX(U96-C96,0),TEW)</f>
        <v>0</v>
      </c>
      <c r="AA96" s="99">
        <f ca="1">MIN(MAX(V96-C96-(X96*Irri_auto+E96*Irri_man),0),R96)</f>
        <v>0.294340811625097</v>
      </c>
      <c r="AB96" s="99">
        <f ca="1">MIN(MAX(W96+MIN(V96-C96-(X96*Irri_auto+E96*Irri_man),0),0),S96)</f>
        <v>2.18046963309898e-9</v>
      </c>
      <c r="AC96" s="99">
        <f ca="1">-MIN(W96+MIN(V96-C96-(X96*Irri_auto+E96*Irri_man),0),0)</f>
        <v>0</v>
      </c>
      <c r="AD96" s="39">
        <f ca="1">IF(((R96-AA96)/P96-((Wfc-Wwp)*Ze-Y96)/Ze)/Wfc*DiffE&lt;0,MAX(((R96-AA96)/P96-((Wfc-Wwp)*Ze-Y96)/Ze)/Wfc*DiffE,(R96*Ze-((Wfc-Wwp)*Ze-Y96-AA96)*P96)/(P96+Ze)-AA96),MIN(((R96-AA96)/P96-((Wfc-Wwp)*Ze-Y96)/Ze)/Wfc*DiffE,(R96*Ze-((Wfc-Wwp)*Ze-Y96-AA96)*P96)/(P96+Ze)-AA96))</f>
        <v>-6.64347007736793e-10</v>
      </c>
      <c r="AE96" s="39">
        <f ca="1">IF(((R96-AA96)/P96-((Wfc-Wwp)*Ze-Z96)/Ze)/Wfc*DiffE&lt;0,MAX(((R96-AA96)/P96-((Wfc-Wwp)*Ze-Z96)/Ze)/Wfc*DiffE,(R96*Ze-((Wfc-Wwp)*Ze-Z96-AA96)*P96)/(P96+Ze)-AA96),MIN(((R96-AA96)/P96-((Wfc-Wwp)*Ze-Z96)/Ze)/Wfc*DiffE,(R96*Ze-((Wfc-Wwp)*Ze-Z96-AA96)*P96)/(P96+Ze)-AA96))</f>
        <v>-1.78996703292349e-9</v>
      </c>
      <c r="AF96" s="39">
        <f ca="1">IF(((S96-AB96)/Q96-(R96-AA96)/P96)/Wfc*DiffR&lt;0,MAX(((S96-AB96)/Q96-(R96-AA96)/P96)/Wfc*DiffR,(S96*P96-(R96-AA96-AB96)*Q96)/(P96+Q96)-AB96),MIN(((S96-AB96)/Q96-(R96-AA96)/P96)/Wfc*DiffR,(S96*P96-(R96-AA96-AB96)*Q96)/(P96+Q96)-AB96))</f>
        <v>1.78996700604082e-9</v>
      </c>
      <c r="AG96" s="99">
        <f ca="1">MIN(MAX(Y96+IF(AU96&gt;0,B96*AZ96/AU96,0)+BE96-AD96,0),TEW)</f>
        <v>0.268300810883537</v>
      </c>
      <c r="AH96" s="99">
        <f ca="1">MIN(MAX(Z96+IF(AV96&gt;0,B96*BA96/AV96,0)+BF96-AE96,0),TEW)</f>
        <v>0.146759929311651</v>
      </c>
      <c r="AI96" s="99">
        <f ca="1" t="shared" si="12"/>
        <v>0.618167282019644</v>
      </c>
      <c r="AJ96" s="99">
        <f ca="1" t="shared" si="13"/>
        <v>3.9704366391398e-9</v>
      </c>
      <c r="AK96" s="70">
        <f ca="1">IF((AU96+AV96)&gt;0,(TEW-(AG96*AU96+AH96*AV96)/(AU96+AV96))/TEW,(TEW-(AG96+AH96)/2)/TEW)</f>
        <v>0.991900352878987</v>
      </c>
      <c r="AL96" s="70">
        <f ca="1" t="shared" si="14"/>
        <v>0.988433094071744</v>
      </c>
      <c r="AM96" s="70">
        <f ca="1" t="shared" si="15"/>
        <v>0.999999999849382</v>
      </c>
      <c r="AN96" s="70">
        <f ca="1">Wwp+(Wfc-Wwp)*IF((AU96+AV96)&gt;0,(TEW-(AG96*AU96+AH96*AV96)/(AU96+AV96))/TEW,(TEW-(AG96+AH96)/2)/TEW)</f>
        <v>0.398947045874268</v>
      </c>
      <c r="AO96" s="70">
        <f ca="1">Wwp+(Wfc-Wwp)*(R96-AI96)/R96</f>
        <v>0.398496302229327</v>
      </c>
      <c r="AP96" s="70">
        <f ca="1">Wwp+(Wfc-Wwp)*(S96-AJ96)/S96</f>
        <v>0.39999999998042</v>
      </c>
      <c r="AQ96" s="70"/>
      <c r="AR96" s="70"/>
      <c r="AS96" s="70"/>
      <c r="AT96" s="70"/>
      <c r="AU96" s="70">
        <f ca="1">MIN((1-G96),fw)</f>
        <v>0.392</v>
      </c>
      <c r="AV96" s="70">
        <f ca="1" t="shared" si="16"/>
        <v>0</v>
      </c>
      <c r="AW96" s="70">
        <f ca="1">MIN((TEW-Y96)/(TEW-REW),1)</f>
        <v>0.127061948109451</v>
      </c>
      <c r="AX96" s="70">
        <f ca="1">MIN((TEW-Z96)/(TEW-REW),1)</f>
        <v>0.12727820001996</v>
      </c>
      <c r="AY96" s="70">
        <f ca="1">IF((AU96*(TEW-Y96))&gt;0,1/(1+((AV96*(TEW-Z96))/(AU96*(TEW-Y96)))),0)</f>
        <v>1</v>
      </c>
      <c r="AZ96" s="70">
        <f ca="1">MIN((AY96*AW96*(Kcmax-H96)),AU96*Kcmax)</f>
        <v>0.0590336083539791</v>
      </c>
      <c r="BA96" s="70">
        <f ca="1">MIN(((1-AY96)*AX96*(Kcmax-H96)),AV96*Kcmax)</f>
        <v>0</v>
      </c>
      <c r="BB96" s="70">
        <f ca="1" t="shared" si="17"/>
        <v>0.0256796196339809</v>
      </c>
      <c r="BC96" s="70">
        <f ca="1">MIN((R96-AA96)/(R96*(1-(p+0.04*(5-I95)))),1)</f>
        <v>1</v>
      </c>
      <c r="BD96" s="10">
        <f ca="1" t="shared" si="18"/>
        <v>0.298146852550533</v>
      </c>
      <c r="BE96" s="70">
        <f ca="1">MIN(IF((1-AA96/R96)&gt;0,(1-Y96/TEW)/(1-AA96/R96)*(Ze/P96)^0.6,0),1)*BC96*H96*B96</f>
        <v>0.146510575199702</v>
      </c>
      <c r="BF96" s="70">
        <f ca="1">MIN(IF((1-AA96/R96)&gt;0,(1-Z96/TEW)/(1-AA96/R96)*(Ze/P96)^0.6,0),1)*BC96*H96*B96</f>
        <v>0.146759927521684</v>
      </c>
      <c r="BH96" s="10">
        <f ca="1" t="shared" si="19"/>
        <v>0.0185164948400919</v>
      </c>
      <c r="BI96" s="10">
        <f ca="1">IF(F96&lt;&gt;"",(Moy_Etobs-F96)^2,"")</f>
        <v>1.32013383629534</v>
      </c>
    </row>
    <row r="97" spans="1:61">
      <c r="A97" s="38">
        <v>39090</v>
      </c>
      <c r="B97" s="10">
        <v>0.666</v>
      </c>
      <c r="C97" s="39">
        <v>1.386</v>
      </c>
      <c r="D97">
        <v>0.61</v>
      </c>
      <c r="E97" s="39">
        <v>0</v>
      </c>
      <c r="F97" s="10">
        <v>0.4282416</v>
      </c>
      <c r="G97" s="10">
        <f ca="1">MIN(MAX(IF(AND(Durpla&gt;ROW()-MATCH(NDVImax,INDEX(D:D,Lig_min,1):INDEX(D:D,Lig_max,1),0)-Lig_min+1,ROW()-MATCH(NDVImax,INDEX(D:D,Lig_min,1):INDEX(D:D,Lig_max,1),0)-Lig_min+1&gt;0,D97*a_fc+b_fc&gt;fc_fin),NDVImax*a_fc+b_fc,D97*a_fc+b_fc),0),1)</f>
        <v>0.613333333333333</v>
      </c>
      <c r="H97" s="55">
        <f>MIN(MAX(D97*a_kcb+b_kcb,0),Kcmax)</f>
        <v>0.691407300732231</v>
      </c>
      <c r="I97" s="70">
        <f ca="1" t="shared" si="11"/>
        <v>0.49935091858886</v>
      </c>
      <c r="O97" s="55"/>
      <c r="P97" s="35">
        <f ca="1">IF(ROW()-MATCH(NDVImax,INDEX(D:D,Lig_min,1):INDEX(D:D,Lig_max,1),0)-Lig_min+1&gt;0,MAX(MIN(Zr_min+MAX(INDEX(G:G,Lig_min,1):INDEX(G:G,Lig_max,1))/MAX(MAX(INDEX(G:G,Lig_min,1):INDEX(G:G,Lig_max,1)),Max_fc_pour_Zrmax)*(Zr_max-Zr_min),Zr_max),Ze+0.001),MAX(MIN(Zr_min+G97/MAX(MAX(INDEX(G:G,Lig_min,1):INDEX(G:G,Lig_max,1)),Max_fc_pour_Zrmax)*(Zr_max-Zr_min),Zr_max),Ze+0.001))</f>
        <v>413.607722743163</v>
      </c>
      <c r="Q97" s="35">
        <f ca="1">IF(Z_sol&gt;0,Z_sol-P97,0.1)</f>
        <v>200.266828321271</v>
      </c>
      <c r="R97" s="35">
        <f ca="1">(Wfc-Wwp)*P97</f>
        <v>53.7690039566112</v>
      </c>
      <c r="S97" s="35">
        <f ca="1">(Wfc-Wwp)*Q97</f>
        <v>26.0346876817652</v>
      </c>
      <c r="T97" s="99">
        <f ca="1" t="shared" si="20"/>
        <v>0.268300810883537</v>
      </c>
      <c r="U97" s="99">
        <f ca="1" t="shared" si="21"/>
        <v>0.146759929311651</v>
      </c>
      <c r="V97" s="99">
        <f ca="1">IF(P97&gt;P96,IF(Q97&gt;1,MAX(AI96+(Wfc-Wwp)*(P97-P96)*AJ96/S96,0),AI96/P96*P97),MAX(AI96+(Wfc-Wwp)*(P97-P96)*AI96/R96,0))</f>
        <v>0.618167282068784</v>
      </c>
      <c r="W97" s="99">
        <f ca="1">IF(S97&gt;1,IF(P97&gt;P96,MAX(AJ96-(Wfc-Wwp)*(P97-P96)*AJ96/S96,0),MAX(AJ96-(Wfc-Wwp)*(P97-P96)*AI96/R96,0)),0)</f>
        <v>3.92129712716076e-9</v>
      </c>
      <c r="X97" s="99">
        <f ca="1">IF(AND(OR(AND(dec_vide_TAW&lt;0,V97&gt;R97*(p+0.04*(5-I96))),AND(dec_vide_TAW&gt;0,V97&gt;R97*dec_vide_TAW)),H97&gt;MAX(INDEX(H:H,Lig_min,1):INDEX(H:H,ROW(X97),1))*Kcbmax_stop_irrig*IF(ROW(X97)-lig_kcbmax&gt;0,1,0),MIN(INDEX(H:H,ROW(X97),1):INDEX(H:H,lig_kcbmax,1))&gt;Kcbmin_start_irrig),MIN(MAX(V97-E97*Irri_man-C97,0),Lame_max),0)</f>
        <v>0</v>
      </c>
      <c r="Y97" s="99">
        <f ca="1">MIN(MAX(T97-C97-IF(fw&gt;0,X97/fw*Irri_auto+E97/fw*Irri_man,0),0),TEW)</f>
        <v>0</v>
      </c>
      <c r="Z97" s="99">
        <f ca="1">MIN(MAX(U97-C97,0),TEW)</f>
        <v>0</v>
      </c>
      <c r="AA97" s="99">
        <f ca="1">MIN(MAX(V97-C97-(X97*Irri_auto+E97*Irri_man),0),R97)</f>
        <v>0</v>
      </c>
      <c r="AB97" s="99">
        <f ca="1">MIN(MAX(W97+MIN(V97-C97-(X97*Irri_auto+E97*Irri_man),0),0),S97)</f>
        <v>0</v>
      </c>
      <c r="AC97" s="99">
        <f ca="1">-MIN(W97+MIN(V97-C97-(X97*Irri_auto+E97*Irri_man),0),0)</f>
        <v>0.767832714009919</v>
      </c>
      <c r="AD97" s="39">
        <f ca="1">IF(((R97-AA97)/P97-((Wfc-Wwp)*Ze-Y97)/Ze)/Wfc*DiffE&lt;0,MAX(((R97-AA97)/P97-((Wfc-Wwp)*Ze-Y97)/Ze)/Wfc*DiffE,(R97*Ze-((Wfc-Wwp)*Ze-Y97-AA97)*P97)/(P97+Ze)-AA97),MIN(((R97-AA97)/P97-((Wfc-Wwp)*Ze-Y97)/Ze)/Wfc*DiffE,(R97*Ze-((Wfc-Wwp)*Ze-Y97-AA97)*P97)/(P97+Ze)-AA97))</f>
        <v>0</v>
      </c>
      <c r="AE97" s="39">
        <f ca="1">IF(((R97-AA97)/P97-((Wfc-Wwp)*Ze-Z97)/Ze)/Wfc*DiffE&lt;0,MAX(((R97-AA97)/P97-((Wfc-Wwp)*Ze-Z97)/Ze)/Wfc*DiffE,(R97*Ze-((Wfc-Wwp)*Ze-Z97-AA97)*P97)/(P97+Ze)-AA97),MIN(((R97-AA97)/P97-((Wfc-Wwp)*Ze-Z97)/Ze)/Wfc*DiffE,(R97*Ze-((Wfc-Wwp)*Ze-Z97-AA97)*P97)/(P97+Ze)-AA97))</f>
        <v>0</v>
      </c>
      <c r="AF97" s="39">
        <f ca="1">IF(((S97-AB97)/Q97-(R97-AA97)/P97)/Wfc*DiffR&lt;0,MAX(((S97-AB97)/Q97-(R97-AA97)/P97)/Wfc*DiffR,(S97*P97-(R97-AA97-AB97)*Q97)/(P97+Q97)-AB97),MIN(((S97-AB97)/Q97-(R97-AA97)/P97)/Wfc*DiffR,(S97*P97-(R97-AA97-AB97)*Q97)/(P97+Q97)-AB97))</f>
        <v>0</v>
      </c>
      <c r="AG97" s="99">
        <f ca="1">MIN(MAX(Y97+IF(AU97&gt;0,B97*AZ97/AU97,0)+BE97-AD97,0),TEW)</f>
        <v>0.325130799427318</v>
      </c>
      <c r="AH97" s="99">
        <f ca="1">MIN(MAX(Z97+IF(AV97&gt;0,B97*BA97/AV97,0)+BF97-AE97,0),TEW)</f>
        <v>0.224595481406987</v>
      </c>
      <c r="AI97" s="99">
        <f ca="1" t="shared" si="12"/>
        <v>0.49935091858886</v>
      </c>
      <c r="AJ97" s="99">
        <f ca="1" t="shared" si="13"/>
        <v>0</v>
      </c>
      <c r="AK97" s="70">
        <f ca="1">IF((AU97+AV97)&gt;0,(TEW-(AG97*AU97+AH97*AV97)/(AU97+AV97))/TEW,(TEW-(AG97+AH97)/2)/TEW)</f>
        <v>0.990184730583326</v>
      </c>
      <c r="AL97" s="70">
        <f ca="1" t="shared" si="14"/>
        <v>0.99071303387</v>
      </c>
      <c r="AM97" s="70">
        <f ca="1" t="shared" si="15"/>
        <v>1</v>
      </c>
      <c r="AN97" s="70">
        <f ca="1">Wwp+(Wfc-Wwp)*IF((AU97+AV97)&gt;0,(TEW-(AG97*AU97+AH97*AV97)/(AU97+AV97))/TEW,(TEW-(AG97+AH97)/2)/TEW)</f>
        <v>0.398724014975832</v>
      </c>
      <c r="AO97" s="70">
        <f ca="1">Wwp+(Wfc-Wwp)*(R97-AI97)/R97</f>
        <v>0.3987926944031</v>
      </c>
      <c r="AP97" s="70">
        <f ca="1">Wwp+(Wfc-Wwp)*(S97-AJ97)/S97</f>
        <v>0.4</v>
      </c>
      <c r="AQ97" s="70"/>
      <c r="AR97" s="70"/>
      <c r="AS97" s="70"/>
      <c r="AT97" s="70"/>
      <c r="AU97" s="70">
        <f ca="1">MIN((1-G97),fw)</f>
        <v>0.386666666666667</v>
      </c>
      <c r="AV97" s="70">
        <f ca="1" t="shared" si="16"/>
        <v>0</v>
      </c>
      <c r="AW97" s="70">
        <f ca="1">MIN((TEW-Y97)/(TEW-REW),1)</f>
        <v>0.12727820001996</v>
      </c>
      <c r="AX97" s="70">
        <f ca="1">MIN((TEW-Z97)/(TEW-REW),1)</f>
        <v>0.12727820001996</v>
      </c>
      <c r="AY97" s="70">
        <f ca="1">IF((AU97*(TEW-Y97))&gt;0,1/(1+((AV97*(TEW-Z97))/(AU97*(TEW-Y97)))),0)</f>
        <v>1</v>
      </c>
      <c r="AZ97" s="70">
        <f ca="1">MIN((AY97*AW97*(Kcmax-H97)),AU97*Kcmax)</f>
        <v>0.0583688533050966</v>
      </c>
      <c r="BA97" s="70">
        <f ca="1">MIN(((1-AY97)*AX97*(Kcmax-H97)),AV97*Kcmax)</f>
        <v>0</v>
      </c>
      <c r="BB97" s="70">
        <f ca="1" t="shared" si="17"/>
        <v>0.0388736563011943</v>
      </c>
      <c r="BC97" s="70">
        <f ca="1">MIN((R97-AA97)/(R97*(1-(p+0.04*(5-I96)))),1)</f>
        <v>1</v>
      </c>
      <c r="BD97" s="10">
        <f ca="1" t="shared" si="18"/>
        <v>0.460477262287666</v>
      </c>
      <c r="BE97" s="70">
        <f ca="1">MIN(IF((1-AA97/R97)&gt;0,(1-Y97/TEW)/(1-AA97/R97)*(Ze/P97)^0.6,0),1)*BC97*H97*B97</f>
        <v>0.224595481406987</v>
      </c>
      <c r="BF97" s="70">
        <f ca="1">MIN(IF((1-AA97/R97)&gt;0,(1-Z97/TEW)/(1-AA97/R97)*(Ze/P97)^0.6,0),1)*BC97*H97*B97</f>
        <v>0.224595481406987</v>
      </c>
      <c r="BH97" s="10">
        <f ca="1" t="shared" si="19"/>
        <v>0.005056535190172</v>
      </c>
      <c r="BI97" s="10">
        <f ca="1">IF(F97&lt;&gt;"",(Moy_Etobs-F97)^2,"")</f>
        <v>1.39388949346889</v>
      </c>
    </row>
    <row r="98" spans="1:61">
      <c r="A98" s="38">
        <v>39091</v>
      </c>
      <c r="B98" s="10">
        <v>0.495</v>
      </c>
      <c r="C98" s="39">
        <v>0.198</v>
      </c>
      <c r="D98">
        <v>0.613</v>
      </c>
      <c r="E98" s="39">
        <v>0</v>
      </c>
      <c r="F98" s="10">
        <v>0.5938992</v>
      </c>
      <c r="G98" s="10">
        <f ca="1">MIN(MAX(IF(AND(Durpla&gt;ROW()-MATCH(NDVImax,INDEX(D:D,Lig_min,1):INDEX(D:D,Lig_max,1),0)-Lig_min+1,ROW()-MATCH(NDVImax,INDEX(D:D,Lig_min,1):INDEX(D:D,Lig_max,1),0)-Lig_min+1&gt;0,D98*a_fc+b_fc&gt;fc_fin),NDVImax*a_fc+b_fc,D98*a_fc+b_fc),0),1)</f>
        <v>0.617333333333333</v>
      </c>
      <c r="H98" s="55">
        <f>MIN(MAX(D98*a_kcb+b_kcb,0),Kcmax)</f>
        <v>0.695916478780485</v>
      </c>
      <c r="I98" s="70">
        <f ca="1" t="shared" si="11"/>
        <v>0.372977352106067</v>
      </c>
      <c r="O98" s="55"/>
      <c r="P98" s="35">
        <f ca="1">IF(ROW()-MATCH(NDVImax,INDEX(D:D,Lig_min,1):INDEX(D:D,Lig_max,1),0)-Lig_min+1&gt;0,MAX(MIN(Zr_min+MAX(INDEX(G:G,Lig_min,1):INDEX(G:G,Lig_max,1))/MAX(MAX(INDEX(G:G,Lig_min,1):INDEX(G:G,Lig_max,1)),Max_fc_pour_Zrmax)*(Zr_max-Zr_min),Zr_max),Ze+0.001),MAX(MIN(Zr_min+G98/MAX(MAX(INDEX(G:G,Lig_min,1):INDEX(G:G,Lig_max,1)),Max_fc_pour_Zrmax)*(Zr_max-Zr_min),Zr_max),Ze+0.001))</f>
        <v>415.489947021923</v>
      </c>
      <c r="Q98" s="35">
        <f ca="1">IF(Z_sol&gt;0,Z_sol-P98,0.1)</f>
        <v>198.384604042511</v>
      </c>
      <c r="R98" s="35">
        <f ca="1">(Wfc-Wwp)*P98</f>
        <v>54.01369311285</v>
      </c>
      <c r="S98" s="35">
        <f ca="1">(Wfc-Wwp)*Q98</f>
        <v>25.7899985255264</v>
      </c>
      <c r="T98" s="99">
        <f ca="1" t="shared" si="20"/>
        <v>0.325130799427318</v>
      </c>
      <c r="U98" s="99">
        <f ca="1" t="shared" si="21"/>
        <v>0.224595481406987</v>
      </c>
      <c r="V98" s="99">
        <f ca="1">IF(P98&gt;P97,IF(Q98&gt;1,MAX(AI97+(Wfc-Wwp)*(P98-P97)*AJ97/S97,0),AI97/P97*P98),MAX(AI97+(Wfc-Wwp)*(P98-P97)*AI97/R97,0))</f>
        <v>0.49935091858886</v>
      </c>
      <c r="W98" s="99">
        <f ca="1">IF(S98&gt;1,IF(P98&gt;P97,MAX(AJ97-(Wfc-Wwp)*(P98-P97)*AJ97/S97,0),MAX(AJ97-(Wfc-Wwp)*(P98-P97)*AI97/R97,0)),0)</f>
        <v>0</v>
      </c>
      <c r="X98" s="99">
        <f ca="1">IF(AND(OR(AND(dec_vide_TAW&lt;0,V98&gt;R98*(p+0.04*(5-I97))),AND(dec_vide_TAW&gt;0,V98&gt;R98*dec_vide_TAW)),H98&gt;MAX(INDEX(H:H,Lig_min,1):INDEX(H:H,ROW(X98),1))*Kcbmax_stop_irrig*IF(ROW(X98)-lig_kcbmax&gt;0,1,0),MIN(INDEX(H:H,ROW(X98),1):INDEX(H:H,lig_kcbmax,1))&gt;Kcbmin_start_irrig),MIN(MAX(V98-E98*Irri_man-C98,0),Lame_max),0)</f>
        <v>0</v>
      </c>
      <c r="Y98" s="99">
        <f ca="1">MIN(MAX(T98-C98-IF(fw&gt;0,X98/fw*Irri_auto+E98/fw*Irri_man,0),0),TEW)</f>
        <v>0.127130799427318</v>
      </c>
      <c r="Z98" s="99">
        <f ca="1">MIN(MAX(U98-C98,0),TEW)</f>
        <v>0.0265954814069874</v>
      </c>
      <c r="AA98" s="99">
        <f ca="1">MIN(MAX(V98-C98-(X98*Irri_auto+E98*Irri_man),0),R98)</f>
        <v>0.30135091858886</v>
      </c>
      <c r="AB98" s="99">
        <f ca="1">MIN(MAX(W98+MIN(V98-C98-(X98*Irri_auto+E98*Irri_man),0),0),S98)</f>
        <v>0</v>
      </c>
      <c r="AC98" s="99">
        <f ca="1">-MIN(W98+MIN(V98-C98-(X98*Irri_auto+E98*Irri_man),0),0)</f>
        <v>0</v>
      </c>
      <c r="AD98" s="39">
        <f ca="1">IF(((R98-AA98)/P98-((Wfc-Wwp)*Ze-Y98)/Ze)/Wfc*DiffE&lt;0,MAX(((R98-AA98)/P98-((Wfc-Wwp)*Ze-Y98)/Ze)/Wfc*DiffE,(R98*Ze-((Wfc-Wwp)*Ze-Y98-AA98)*P98)/(P98+Ze)-AA98),MIN(((R98-AA98)/P98-((Wfc-Wwp)*Ze-Y98)/Ze)/Wfc*DiffE,(R98*Ze-((Wfc-Wwp)*Ze-Y98-AA98)*P98)/(P98+Ze)-AA98))</f>
        <v>7.29389695414348e-10</v>
      </c>
      <c r="AE98" s="39">
        <f ca="1">IF(((R98-AA98)/P98-((Wfc-Wwp)*Ze-Z98)/Ze)/Wfc*DiffE&lt;0,MAX(((R98-AA98)/P98-((Wfc-Wwp)*Ze-Z98)/Ze)/Wfc*DiffE,(R98*Ze-((Wfc-Wwp)*Ze-Z98-AA98)*P98)/(P98+Ze)-AA98),MIN(((R98-AA98)/P98-((Wfc-Wwp)*Ze-Z98)/Ze)/Wfc*DiffE,(R98*Ze-((Wfc-Wwp)*Ze-Z98-AA98)*P98)/(P98+Ze)-AA98))</f>
        <v>-1.2813166649922e-9</v>
      </c>
      <c r="AF98" s="39">
        <f ca="1">IF(((S98-AB98)/Q98-(R98-AA98)/P98)/Wfc*DiffR&lt;0,MAX(((S98-AB98)/Q98-(R98-AA98)/P98)/Wfc*DiffR,(S98*P98-(R98-AA98-AB98)*Q98)/(P98+Q98)-AB98),MIN(((S98-AB98)/Q98-(R98-AA98)/P98)/Wfc*DiffR,(S98*P98-(R98-AA98-AB98)*Q98)/(P98+Q98)-AB98))</f>
        <v>1.81322629313196e-9</v>
      </c>
      <c r="AG98" s="99">
        <f ca="1">MIN(MAX(Y98+IF(AU98&gt;0,B98*AZ98/AU98,0)+BE98-AD98,0),TEW)</f>
        <v>0.369458783725998</v>
      </c>
      <c r="AH98" s="99">
        <f ca="1">MIN(MAX(Z98+IF(AV98&gt;0,B98*BA98/AV98,0)+BF98-AE98,0),TEW)</f>
        <v>0.194960930316392</v>
      </c>
      <c r="AI98" s="99">
        <f ca="1" t="shared" si="12"/>
        <v>0.6743282688817</v>
      </c>
      <c r="AJ98" s="99">
        <f ca="1" t="shared" si="13"/>
        <v>1.81322629313196e-9</v>
      </c>
      <c r="AK98" s="70">
        <f ca="1">IF((AU98+AV98)&gt;0,(TEW-(AG98*AU98+AH98*AV98)/(AU98+AV98))/TEW,(TEW-(AG98+AH98)/2)/TEW)</f>
        <v>0.988846527283744</v>
      </c>
      <c r="AL98" s="70">
        <f ca="1" t="shared" si="14"/>
        <v>0.987515605210093</v>
      </c>
      <c r="AM98" s="70">
        <f ca="1" t="shared" si="15"/>
        <v>0.999999999929693</v>
      </c>
      <c r="AN98" s="70">
        <f ca="1">Wwp+(Wfc-Wwp)*IF((AU98+AV98)&gt;0,(TEW-(AG98*AU98+AH98*AV98)/(AU98+AV98))/TEW,(TEW-(AG98+AH98)/2)/TEW)</f>
        <v>0.398550048546887</v>
      </c>
      <c r="AO98" s="70">
        <f ca="1">Wwp+(Wfc-Wwp)*(R98-AI98)/R98</f>
        <v>0.398377028677312</v>
      </c>
      <c r="AP98" s="70">
        <f ca="1">Wwp+(Wfc-Wwp)*(S98-AJ98)/S98</f>
        <v>0.39999999999086</v>
      </c>
      <c r="AQ98" s="70"/>
      <c r="AR98" s="70"/>
      <c r="AS98" s="70"/>
      <c r="AT98" s="70"/>
      <c r="AU98" s="70">
        <f ca="1">MIN((1-G98),fw)</f>
        <v>0.382666666666667</v>
      </c>
      <c r="AV98" s="70">
        <f ca="1" t="shared" si="16"/>
        <v>0</v>
      </c>
      <c r="AW98" s="70">
        <f ca="1">MIN((TEW-Y98)/(TEW-REW),1)</f>
        <v>0.126789717625448</v>
      </c>
      <c r="AX98" s="70">
        <f ca="1">MIN((TEW-Z98)/(TEW-REW),1)</f>
        <v>0.127176010585933</v>
      </c>
      <c r="AY98" s="70">
        <f ca="1">IF((AU98*(TEW-Y98))&gt;0,1/(1+((AV98*(TEW-Z98))/(AU98*(TEW-Y98)))),0)</f>
        <v>1</v>
      </c>
      <c r="AZ98" s="70">
        <f ca="1">MIN((AY98*AW98*(Kcmax-H98)),AU98*Kcmax)</f>
        <v>0.0575731214337916</v>
      </c>
      <c r="BA98" s="70">
        <f ca="1">MIN(((1-AY98)*AX98*(Kcmax-H98)),AV98*Kcmax)</f>
        <v>0</v>
      </c>
      <c r="BB98" s="70">
        <f ca="1" t="shared" si="17"/>
        <v>0.0284986951097269</v>
      </c>
      <c r="BC98" s="70">
        <f ca="1">MIN((R98-AA98)/(R98*(1-(p+0.04*(5-I97)))),1)</f>
        <v>1</v>
      </c>
      <c r="BD98" s="10">
        <f ca="1" t="shared" si="18"/>
        <v>0.34447865699634</v>
      </c>
      <c r="BE98" s="70">
        <f ca="1">MIN(IF((1-AA98/R98)&gt;0,(1-Y98/TEW)/(1-AA98/R98)*(Ze/P98)^0.6,0),1)*BC98*H98*B98</f>
        <v>0.167854043103697</v>
      </c>
      <c r="BF98" s="70">
        <f ca="1">MIN(IF((1-AA98/R98)&gt;0,(1-Z98/TEW)/(1-AA98/R98)*(Ze/P98)^0.6,0),1)*BC98*H98*B98</f>
        <v>0.168365447628088</v>
      </c>
      <c r="BH98" s="10">
        <f ca="1" t="shared" si="19"/>
        <v>0.0488064628768702</v>
      </c>
      <c r="BI98" s="10">
        <f ca="1">IF(F98&lt;&gt;"",(Moy_Etobs-F98)^2,"")</f>
        <v>1.03017094709258</v>
      </c>
    </row>
    <row r="99" spans="1:61">
      <c r="A99" s="38">
        <v>39092</v>
      </c>
      <c r="B99" s="10">
        <v>0.604</v>
      </c>
      <c r="C99" s="39">
        <v>0</v>
      </c>
      <c r="D99">
        <v>0.616</v>
      </c>
      <c r="E99" s="39">
        <v>0</v>
      </c>
      <c r="F99" s="10">
        <v>0.5438088</v>
      </c>
      <c r="G99" s="10">
        <f ca="1">MIN(MAX(IF(AND(Durpla&gt;ROW()-MATCH(NDVImax,INDEX(D:D,Lig_min,1):INDEX(D:D,Lig_max,1),0)-Lig_min+1,ROW()-MATCH(NDVImax,INDEX(D:D,Lig_min,1):INDEX(D:D,Lig_max,1),0)-Lig_min+1&gt;0,D99*a_fc+b_fc&gt;fc_fin),NDVImax*a_fc+b_fc,D99*a_fc+b_fc),0),1)</f>
        <v>0.621333333333333</v>
      </c>
      <c r="H99" s="55">
        <f>MIN(MAX(D99*a_kcb+b_kcb,0),Kcmax)</f>
        <v>0.700425656828738</v>
      </c>
      <c r="I99" s="70">
        <f ca="1" t="shared" si="11"/>
        <v>0.457233108024074</v>
      </c>
      <c r="O99" s="55"/>
      <c r="P99" s="35">
        <f ca="1">IF(ROW()-MATCH(NDVImax,INDEX(D:D,Lig_min,1):INDEX(D:D,Lig_max,1),0)-Lig_min+1&gt;0,MAX(MIN(Zr_min+MAX(INDEX(G:G,Lig_min,1):INDEX(G:G,Lig_max,1))/MAX(MAX(INDEX(G:G,Lig_min,1):INDEX(G:G,Lig_max,1)),Max_fc_pour_Zrmax)*(Zr_max-Zr_min),Zr_max),Ze+0.001),MAX(MIN(Zr_min+G99/MAX(MAX(INDEX(G:G,Lig_min,1):INDEX(G:G,Lig_max,1)),Max_fc_pour_Zrmax)*(Zr_max-Zr_min),Zr_max),Ze+0.001))</f>
        <v>417.372171300683</v>
      </c>
      <c r="Q99" s="35">
        <f ca="1">IF(Z_sol&gt;0,Z_sol-P99,0.1)</f>
        <v>196.502379763751</v>
      </c>
      <c r="R99" s="35">
        <f ca="1">(Wfc-Wwp)*P99</f>
        <v>54.2583822690888</v>
      </c>
      <c r="S99" s="35">
        <f ca="1">(Wfc-Wwp)*Q99</f>
        <v>25.5453093692877</v>
      </c>
      <c r="T99" s="99">
        <f ca="1" t="shared" si="20"/>
        <v>0.369458783725998</v>
      </c>
      <c r="U99" s="99">
        <f ca="1" t="shared" si="21"/>
        <v>0.194960930316392</v>
      </c>
      <c r="V99" s="99">
        <f ca="1">IF(P99&gt;P98,IF(Q99&gt;1,MAX(AI98+(Wfc-Wwp)*(P99-P98)*AJ98/S98,0),AI98/P98*P99),MAX(AI98+(Wfc-Wwp)*(P99-P98)*AI98/R98,0))</f>
        <v>0.674328268898904</v>
      </c>
      <c r="W99" s="99">
        <f ca="1">IF(S99&gt;1,IF(P99&gt;P98,MAX(AJ98-(Wfc-Wwp)*(P99-P98)*AJ98/S98,0),MAX(AJ98-(Wfc-Wwp)*(P99-P98)*AI98/R98,0)),0)</f>
        <v>1.79602284849829e-9</v>
      </c>
      <c r="X99" s="99">
        <f ca="1">IF(AND(OR(AND(dec_vide_TAW&lt;0,V99&gt;R99*(p+0.04*(5-I98))),AND(dec_vide_TAW&gt;0,V99&gt;R99*dec_vide_TAW)),H99&gt;MAX(INDEX(H:H,Lig_min,1):INDEX(H:H,ROW(X99),1))*Kcbmax_stop_irrig*IF(ROW(X99)-lig_kcbmax&gt;0,1,0),MIN(INDEX(H:H,ROW(X99),1):INDEX(H:H,lig_kcbmax,1))&gt;Kcbmin_start_irrig),MIN(MAX(V99-E99*Irri_man-C99,0),Lame_max),0)</f>
        <v>0</v>
      </c>
      <c r="Y99" s="99">
        <f ca="1">MIN(MAX(T99-C99-IF(fw&gt;0,X99/fw*Irri_auto+E99/fw*Irri_man,0),0),TEW)</f>
        <v>0.369458783725998</v>
      </c>
      <c r="Z99" s="99">
        <f ca="1">MIN(MAX(U99-C99,0),TEW)</f>
        <v>0.194960930316392</v>
      </c>
      <c r="AA99" s="99">
        <f ca="1">MIN(MAX(V99-C99-(X99*Irri_auto+E99*Irri_man),0),R99)</f>
        <v>0.674328268898904</v>
      </c>
      <c r="AB99" s="99">
        <f ca="1">MIN(MAX(W99+MIN(V99-C99-(X99*Irri_auto+E99*Irri_man),0),0),S99)</f>
        <v>1.79602284849829e-9</v>
      </c>
      <c r="AC99" s="99">
        <f ca="1">-MIN(W99+MIN(V99-C99-(X99*Irri_auto+E99*Irri_man),0),0)</f>
        <v>0</v>
      </c>
      <c r="AD99" s="39">
        <f ca="1">IF(((R99-AA99)/P99-((Wfc-Wwp)*Ze-Y99)/Ze)/Wfc*DiffE&lt;0,MAX(((R99-AA99)/P99-((Wfc-Wwp)*Ze-Y99)/Ze)/Wfc*DiffE,(R99*Ze-((Wfc-Wwp)*Ze-Y99-AA99)*P99)/(P99+Ze)-AA99),MIN(((R99-AA99)/P99-((Wfc-Wwp)*Ze-Y99)/Ze)/Wfc*DiffE,(R99*Ze-((Wfc-Wwp)*Ze-Y99-AA99)*P99)/(P99+Ze)-AA99))</f>
        <v>3.35004516183235e-9</v>
      </c>
      <c r="AE99" s="39">
        <f ca="1">IF(((R99-AA99)/P99-((Wfc-Wwp)*Ze-Z99)/Ze)/Wfc*DiffE&lt;0,MAX(((R99-AA99)/P99-((Wfc-Wwp)*Ze-Z99)/Ze)/Wfc*DiffE,(R99*Ze-((Wfc-Wwp)*Ze-Z99-AA99)*P99)/(P99+Ze)-AA99),MIN(((R99-AA99)/P99-((Wfc-Wwp)*Ze-Z99)/Ze)/Wfc*DiffE,(R99*Ze-((Wfc-Wwp)*Ze-Z99-AA99)*P99)/(P99+Ze)-AA99))</f>
        <v>-1.39911906359771e-10</v>
      </c>
      <c r="AF99" s="39">
        <f ca="1">IF(((S99-AB99)/Q99-(R99-AA99)/P99)/Wfc*DiffR&lt;0,MAX(((S99-AB99)/Q99-(R99-AA99)/P99)/Wfc*DiffR,(S99*P99-(R99-AA99-AB99)*Q99)/(P99+Q99)-AB99),MIN(((S99-AB99)/Q99-(R99-AA99)/P99)/Wfc*DiffR,(S99*P99-(R99-AA99-AB99)*Q99)/(P99+Q99)-AB99))</f>
        <v>4.03913048983774e-9</v>
      </c>
      <c r="AG99" s="99">
        <f ca="1">MIN(MAX(Y99+IF(AU99&gt;0,B99*AZ99/AU99,0)+BE99-AD99,0),TEW)</f>
        <v>0.665202507800997</v>
      </c>
      <c r="AH99" s="99">
        <f ca="1">MIN(MAX(Z99+IF(AV99&gt;0,B99*BA99/AV99,0)+BF99-AE99,0),TEW)</f>
        <v>0.40154581008078</v>
      </c>
      <c r="AI99" s="99">
        <f ca="1" t="shared" si="12"/>
        <v>1.13156137288385</v>
      </c>
      <c r="AJ99" s="99">
        <f ca="1" t="shared" si="13"/>
        <v>5.83515333833603e-9</v>
      </c>
      <c r="AK99" s="70">
        <f ca="1">IF((AU99+AV99)&gt;0,(TEW-(AG99*AU99+AH99*AV99)/(AU99+AV99))/TEW,(TEW-(AG99+AH99)/2)/TEW)</f>
        <v>0.979918414858838</v>
      </c>
      <c r="AL99" s="70">
        <f ca="1" t="shared" si="14"/>
        <v>0.979144948198566</v>
      </c>
      <c r="AM99" s="70">
        <f ca="1" t="shared" si="15"/>
        <v>0.999999999771576</v>
      </c>
      <c r="AN99" s="70">
        <f ca="1">Wwp+(Wfc-Wwp)*IF((AU99+AV99)&gt;0,(TEW-(AG99*AU99+AH99*AV99)/(AU99+AV99))/TEW,(TEW-(AG99+AH99)/2)/TEW)</f>
        <v>0.397389393931649</v>
      </c>
      <c r="AO99" s="70">
        <f ca="1">Wwp+(Wfc-Wwp)*(R99-AI99)/R99</f>
        <v>0.397288843265814</v>
      </c>
      <c r="AP99" s="70">
        <f ca="1">Wwp+(Wfc-Wwp)*(S99-AJ99)/S99</f>
        <v>0.399999999970305</v>
      </c>
      <c r="AQ99" s="70"/>
      <c r="AR99" s="70"/>
      <c r="AS99" s="70"/>
      <c r="AT99" s="70"/>
      <c r="AU99" s="70">
        <f ca="1">MIN((1-G99),fw)</f>
        <v>0.378666666666667</v>
      </c>
      <c r="AV99" s="70">
        <f ca="1" t="shared" si="16"/>
        <v>0</v>
      </c>
      <c r="AW99" s="70">
        <f ca="1">MIN((TEW-Y99)/(TEW-REW),1)</f>
        <v>0.125858606088663</v>
      </c>
      <c r="AX99" s="70">
        <f ca="1">MIN((TEW-Z99)/(TEW-REW),1)</f>
        <v>0.126529089792492</v>
      </c>
      <c r="AY99" s="70">
        <f ca="1">IF((AU99*(TEW-Y99))&gt;0,1/(1+((AV99*(TEW-Z99))/(AU99*(TEW-Y99)))),0)</f>
        <v>1</v>
      </c>
      <c r="AZ99" s="70">
        <f ca="1">MIN((AY99*AW99*(Kcmax-H99)),AU99*Kcmax)</f>
        <v>0.0565828001647614</v>
      </c>
      <c r="BA99" s="70">
        <f ca="1">MIN(((1-AY99)*AX99*(Kcmax-H99)),AV99*Kcmax)</f>
        <v>0</v>
      </c>
      <c r="BB99" s="70">
        <f ca="1" t="shared" si="17"/>
        <v>0.0341760112995159</v>
      </c>
      <c r="BC99" s="70">
        <f ca="1">MIN((R99-AA99)/(R99*(1-(p+0.04*(5-I98)))),1)</f>
        <v>1</v>
      </c>
      <c r="BD99" s="10">
        <f ca="1" t="shared" si="18"/>
        <v>0.423057096724558</v>
      </c>
      <c r="BE99" s="70">
        <f ca="1">MIN(IF((1-AA99/R99)&gt;0,(1-Y99/TEW)/(1-AA99/R99)*(Ze/P99)^0.6,0),1)*BC99*H99*B99</f>
        <v>0.205490176458013</v>
      </c>
      <c r="BF99" s="70">
        <f ca="1">MIN(IF((1-AA99/R99)&gt;0,(1-Z99/TEW)/(1-AA99/R99)*(Ze/P99)^0.6,0),1)*BC99*H99*B99</f>
        <v>0.206584879624476</v>
      </c>
      <c r="BH99" s="10">
        <f ca="1" t="shared" si="19"/>
        <v>0.00749535044111045</v>
      </c>
      <c r="BI99" s="10">
        <f ca="1">IF(F99&lt;&gt;"",(Moy_Etobs-F99)^2,"")</f>
        <v>1.13436083971078</v>
      </c>
    </row>
    <row r="100" spans="1:61">
      <c r="A100" s="38">
        <v>39093</v>
      </c>
      <c r="B100" s="10">
        <v>0.715</v>
      </c>
      <c r="C100" s="39">
        <v>0</v>
      </c>
      <c r="D100">
        <v>0.619</v>
      </c>
      <c r="E100" s="39">
        <v>0</v>
      </c>
      <c r="F100" s="10">
        <v>0.7111782</v>
      </c>
      <c r="G100" s="10">
        <f ca="1">MIN(MAX(IF(AND(Durpla&gt;ROW()-MATCH(NDVImax,INDEX(D:D,Lig_min,1):INDEX(D:D,Lig_max,1),0)-Lig_min+1,ROW()-MATCH(NDVImax,INDEX(D:D,Lig_min,1):INDEX(D:D,Lig_max,1),0)-Lig_min+1&gt;0,D100*a_fc+b_fc&gt;fc_fin),NDVImax*a_fc+b_fc,D100*a_fc+b_fc),0),1)</f>
        <v>0.625333333333333</v>
      </c>
      <c r="H100" s="55">
        <f>MIN(MAX(D100*a_kcb+b_kcb,0),Kcmax)</f>
        <v>0.704934834876992</v>
      </c>
      <c r="I100" s="70">
        <f ca="1" t="shared" si="11"/>
        <v>0.543717720661957</v>
      </c>
      <c r="O100" s="55"/>
      <c r="P100" s="35">
        <f ca="1">IF(ROW()-MATCH(NDVImax,INDEX(D:D,Lig_min,1):INDEX(D:D,Lig_max,1),0)-Lig_min+1&gt;0,MAX(MIN(Zr_min+MAX(INDEX(G:G,Lig_min,1):INDEX(G:G,Lig_max,1))/MAX(MAX(INDEX(G:G,Lig_min,1):INDEX(G:G,Lig_max,1)),Max_fc_pour_Zrmax)*(Zr_max-Zr_min),Zr_max),Ze+0.001),MAX(MIN(Zr_min+G100/MAX(MAX(INDEX(G:G,Lig_min,1):INDEX(G:G,Lig_max,1)),Max_fc_pour_Zrmax)*(Zr_max-Zr_min),Zr_max),Ze+0.001))</f>
        <v>419.254395579442</v>
      </c>
      <c r="Q100" s="35">
        <f ca="1">IF(Z_sol&gt;0,Z_sol-P100,0.1)</f>
        <v>194.620155484992</v>
      </c>
      <c r="R100" s="35">
        <f ca="1">(Wfc-Wwp)*P100</f>
        <v>54.5030714253275</v>
      </c>
      <c r="S100" s="35">
        <f ca="1">(Wfc-Wwp)*Q100</f>
        <v>25.3006202130489</v>
      </c>
      <c r="T100" s="99">
        <f ca="1" t="shared" si="20"/>
        <v>0.665202507800997</v>
      </c>
      <c r="U100" s="99">
        <f ca="1" t="shared" si="21"/>
        <v>0.40154581008078</v>
      </c>
      <c r="V100" s="99">
        <f ca="1">IF(P100&gt;P99,IF(Q100&gt;1,MAX(AI99+(Wfc-Wwp)*(P100-P99)*AJ99/S99,0),AI99/P99*P100),MAX(AI99+(Wfc-Wwp)*(P100-P99)*AI99/R99,0))</f>
        <v>1.13156137293974</v>
      </c>
      <c r="W100" s="99">
        <f ca="1">IF(S100&gt;1,IF(P100&gt;P99,MAX(AJ99-(Wfc-Wwp)*(P100-P99)*AJ99/S99,0),MAX(AJ99-(Wfc-Wwp)*(P100-P99)*AI99/R99,0)),0)</f>
        <v>5.7792605430584e-9</v>
      </c>
      <c r="X100" s="99">
        <f ca="1">IF(AND(OR(AND(dec_vide_TAW&lt;0,V100&gt;R100*(p+0.04*(5-I99))),AND(dec_vide_TAW&gt;0,V100&gt;R100*dec_vide_TAW)),H100&gt;MAX(INDEX(H:H,Lig_min,1):INDEX(H:H,ROW(X100),1))*Kcbmax_stop_irrig*IF(ROW(X100)-lig_kcbmax&gt;0,1,0),MIN(INDEX(H:H,ROW(X100),1):INDEX(H:H,lig_kcbmax,1))&gt;Kcbmin_start_irrig),MIN(MAX(V100-E100*Irri_man-C100,0),Lame_max),0)</f>
        <v>0</v>
      </c>
      <c r="Y100" s="99">
        <f ca="1">MIN(MAX(T100-C100-IF(fw&gt;0,X100/fw*Irri_auto+E100/fw*Irri_man,0),0),TEW)</f>
        <v>0.665202507800997</v>
      </c>
      <c r="Z100" s="99">
        <f ca="1">MIN(MAX(U100-C100,0),TEW)</f>
        <v>0.40154581008078</v>
      </c>
      <c r="AA100" s="99">
        <f ca="1">MIN(MAX(V100-C100-(X100*Irri_auto+E100*Irri_man),0),R100)</f>
        <v>1.13156137293974</v>
      </c>
      <c r="AB100" s="99">
        <f ca="1">MIN(MAX(W100+MIN(V100-C100-(X100*Irri_auto+E100*Irri_man),0),0),S100)</f>
        <v>5.7792605430584e-9</v>
      </c>
      <c r="AC100" s="99">
        <f ca="1">-MIN(W100+MIN(V100-C100-(X100*Irri_auto+E100*Irri_man),0),0)</f>
        <v>0</v>
      </c>
      <c r="AD100" s="39">
        <f ca="1">IF(((R100-AA100)/P100-((Wfc-Wwp)*Ze-Y100)/Ze)/Wfc*DiffE&lt;0,MAX(((R100-AA100)/P100-((Wfc-Wwp)*Ze-Y100)/Ze)/Wfc*DiffE,(R100*Ze-((Wfc-Wwp)*Ze-Y100-AA100)*P100)/(P100+Ze)-AA100),MIN(((R100-AA100)/P100-((Wfc-Wwp)*Ze-Y100)/Ze)/Wfc*DiffE,(R100*Ze-((Wfc-Wwp)*Ze-Y100-AA100)*P100)/(P100+Ze)-AA100))</f>
        <v>6.55658736928019e-9</v>
      </c>
      <c r="AE100" s="39">
        <f ca="1">IF(((R100-AA100)/P100-((Wfc-Wwp)*Ze-Z100)/Ze)/Wfc*DiffE&lt;0,MAX(((R100-AA100)/P100-((Wfc-Wwp)*Ze-Z100)/Ze)/Wfc*DiffE,(R100*Ze-((Wfc-Wwp)*Ze-Z100-AA100)*P100)/(P100+Ze)-AA100),MIN(((R100-AA100)/P100-((Wfc-Wwp)*Ze-Z100)/Ze)/Wfc*DiffE,(R100*Ze-((Wfc-Wwp)*Ze-Z100-AA100)*P100)/(P100+Ze)-AA100))</f>
        <v>1.28345341487583e-9</v>
      </c>
      <c r="AF100" s="39">
        <f ca="1">IF(((S100-AB100)/Q100-(R100-AA100)/P100)/Wfc*DiffR&lt;0,MAX(((S100-AB100)/Q100-(R100-AA100)/P100)/Wfc*DiffR,(S100*P100-(R100-AA100-AB100)*Q100)/(P100+Q100)-AB100),MIN(((S100-AB100)/Q100-(R100-AA100)/P100)/Wfc*DiffR,(S100*P100-(R100-AA100-AB100)*Q100)/(P100+Q100)-AB100))</f>
        <v>6.74746271250214e-9</v>
      </c>
      <c r="AG100" s="99">
        <f ca="1">MIN(MAX(Y100+IF(AU100&gt;0,B100*AZ100/AU100,0)+BE100-AD100,0),TEW)</f>
        <v>1.01514945590742</v>
      </c>
      <c r="AH100" s="99">
        <f ca="1">MIN(MAX(Z100+IF(AV100&gt;0,B100*BA100/AV100,0)+BF100-AE100,0),TEW)</f>
        <v>0.647542455206059</v>
      </c>
      <c r="AI100" s="99">
        <f ca="1" t="shared" si="12"/>
        <v>1.67527908685423</v>
      </c>
      <c r="AJ100" s="99">
        <f ca="1" t="shared" si="13"/>
        <v>1.25267232555605e-8</v>
      </c>
      <c r="AK100" s="70">
        <f ca="1">IF((AU100+AV100)&gt;0,(TEW-(AG100*AU100+AH100*AV100)/(AU100+AV100))/TEW,(TEW-(AG100+AH100)/2)/TEW)</f>
        <v>0.969353978689587</v>
      </c>
      <c r="AL100" s="70">
        <f ca="1" t="shared" si="14"/>
        <v>0.969262666432488</v>
      </c>
      <c r="AM100" s="70">
        <f ca="1" t="shared" si="15"/>
        <v>0.999999999504885</v>
      </c>
      <c r="AN100" s="70">
        <f ca="1">Wwp+(Wfc-Wwp)*IF((AU100+AV100)&gt;0,(TEW-(AG100*AU100+AH100*AV100)/(AU100+AV100))/TEW,(TEW-(AG100+AH100)/2)/TEW)</f>
        <v>0.396016017229646</v>
      </c>
      <c r="AO100" s="70">
        <f ca="1">Wwp+(Wfc-Wwp)*(R100-AI100)/R100</f>
        <v>0.396004146636223</v>
      </c>
      <c r="AP100" s="70">
        <f ca="1">Wwp+(Wfc-Wwp)*(S100-AJ100)/S100</f>
        <v>0.399999999935635</v>
      </c>
      <c r="AQ100" s="70"/>
      <c r="AR100" s="70"/>
      <c r="AS100" s="70"/>
      <c r="AT100" s="70"/>
      <c r="AU100" s="70">
        <f ca="1">MIN((1-G100),fw)</f>
        <v>0.374666666666667</v>
      </c>
      <c r="AV100" s="70">
        <f ca="1" t="shared" si="16"/>
        <v>0</v>
      </c>
      <c r="AW100" s="70">
        <f ca="1">MIN((TEW-Y100)/(TEW-REW),1)</f>
        <v>0.124722252009646</v>
      </c>
      <c r="AX100" s="70">
        <f ca="1">MIN((TEW-Z100)/(TEW-REW),1)</f>
        <v>0.125735316157843</v>
      </c>
      <c r="AY100" s="70">
        <f ca="1">IF((AU100*(TEW-Y100))&gt;0,1/(1+((AV100*(TEW-Z100))/(AU100*(TEW-Y100)))),0)</f>
        <v>1</v>
      </c>
      <c r="AZ100" s="70">
        <f ca="1">MIN((AY100*AW100*(Kcmax-H100)),AU100*Kcmax)</f>
        <v>0.0555095296851863</v>
      </c>
      <c r="BA100" s="70">
        <f ca="1">MIN(((1-AY100)*AX100*(Kcmax-H100)),AV100*Kcmax)</f>
        <v>0</v>
      </c>
      <c r="BB100" s="70">
        <f ca="1" t="shared" si="17"/>
        <v>0.0396893137249082</v>
      </c>
      <c r="BC100" s="70">
        <f ca="1">MIN((R100-AA100)/(R100*(1-(p+0.04*(5-I99)))),1)</f>
        <v>1</v>
      </c>
      <c r="BD100" s="10">
        <f ca="1" t="shared" si="18"/>
        <v>0.504028406937049</v>
      </c>
      <c r="BE100" s="70">
        <f ca="1">MIN(IF((1-AA100/R100)&gt;0,(1-Y100/TEW)/(1-AA100/R100)*(Ze/P100)^0.6,0),1)*BC100*H100*B100</f>
        <v>0.244014622657024</v>
      </c>
      <c r="BF100" s="70">
        <f ca="1">MIN(IF((1-AA100/R100)&gt;0,(1-Z100/TEW)/(1-AA100/R100)*(Ze/P100)^0.6,0),1)*BC100*H100*B100</f>
        <v>0.245996646408733</v>
      </c>
      <c r="BH100" s="10">
        <f ca="1" t="shared" si="19"/>
        <v>0.028043012140127</v>
      </c>
      <c r="BI100" s="10">
        <f ca="1">IF(F100&lt;&gt;"",(Moy_Etobs-F100)^2,"")</f>
        <v>0.805855186602626</v>
      </c>
    </row>
    <row r="101" spans="1:61">
      <c r="A101" s="38">
        <v>39094</v>
      </c>
      <c r="B101" s="10">
        <v>0.556</v>
      </c>
      <c r="C101" s="39">
        <v>0</v>
      </c>
      <c r="D101">
        <v>0.622</v>
      </c>
      <c r="E101" s="39">
        <v>0</v>
      </c>
      <c r="F101" s="10">
        <v>0.521883</v>
      </c>
      <c r="G101" s="10">
        <f ca="1">MIN(MAX(IF(AND(Durpla&gt;ROW()-MATCH(NDVImax,INDEX(D:D,Lig_min,1):INDEX(D:D,Lig_max,1),0)-Lig_min+1,ROW()-MATCH(NDVImax,INDEX(D:D,Lig_min,1):INDEX(D:D,Lig_max,1),0)-Lig_min+1&gt;0,D101*a_fc+b_fc&gt;fc_fin),NDVImax*a_fc+b_fc,D101*a_fc+b_fc),0),1)</f>
        <v>0.629333333333333</v>
      </c>
      <c r="H101" s="55">
        <f>MIN(MAX(D101*a_kcb+b_kcb,0),Kcmax)</f>
        <v>0.709444012925246</v>
      </c>
      <c r="I101" s="70">
        <f ca="1" t="shared" si="11"/>
        <v>0.42467211406954</v>
      </c>
      <c r="O101" s="55"/>
      <c r="P101" s="35">
        <f ca="1">IF(ROW()-MATCH(NDVImax,INDEX(D:D,Lig_min,1):INDEX(D:D,Lig_max,1),0)-Lig_min+1&gt;0,MAX(MIN(Zr_min+MAX(INDEX(G:G,Lig_min,1):INDEX(G:G,Lig_max,1))/MAX(MAX(INDEX(G:G,Lig_min,1):INDEX(G:G,Lig_max,1)),Max_fc_pour_Zrmax)*(Zr_max-Zr_min),Zr_max),Ze+0.001),MAX(MIN(Zr_min+G101/MAX(MAX(INDEX(G:G,Lig_min,1):INDEX(G:G,Lig_max,1)),Max_fc_pour_Zrmax)*(Zr_max-Zr_min),Zr_max),Ze+0.001))</f>
        <v>421.136619858202</v>
      </c>
      <c r="Q101" s="35">
        <f ca="1">IF(Z_sol&gt;0,Z_sol-P101,0.1)</f>
        <v>192.737931206232</v>
      </c>
      <c r="R101" s="35">
        <f ca="1">(Wfc-Wwp)*P101</f>
        <v>54.7477605815663</v>
      </c>
      <c r="S101" s="35">
        <f ca="1">(Wfc-Wwp)*Q101</f>
        <v>25.0559310568101</v>
      </c>
      <c r="T101" s="99">
        <f ca="1" t="shared" si="20"/>
        <v>1.01514945590742</v>
      </c>
      <c r="U101" s="99">
        <f ca="1" t="shared" si="21"/>
        <v>0.647542455206059</v>
      </c>
      <c r="V101" s="99">
        <f ca="1">IF(P101&gt;P100,IF(Q101&gt;1,MAX(AI100+(Wfc-Wwp)*(P101-P100)*AJ100/S100,0),AI100/P100*P101),MAX(AI100+(Wfc-Wwp)*(P101-P100)*AI100/R100,0))</f>
        <v>1.67527908697538</v>
      </c>
      <c r="W101" s="99">
        <f ca="1">IF(S101&gt;1,IF(P101&gt;P100,MAX(AJ100-(Wfc-Wwp)*(P101-P100)*AJ100/S100,0),MAX(AJ100-(Wfc-Wwp)*(P101-P100)*AI100/R100,0)),0)</f>
        <v>1.24055739193771e-8</v>
      </c>
      <c r="X101" s="99">
        <f ca="1">IF(AND(OR(AND(dec_vide_TAW&lt;0,V101&gt;R101*(p+0.04*(5-I100))),AND(dec_vide_TAW&gt;0,V101&gt;R101*dec_vide_TAW)),H101&gt;MAX(INDEX(H:H,Lig_min,1):INDEX(H:H,ROW(X101),1))*Kcbmax_stop_irrig*IF(ROW(X101)-lig_kcbmax&gt;0,1,0),MIN(INDEX(H:H,ROW(X101),1):INDEX(H:H,lig_kcbmax,1))&gt;Kcbmin_start_irrig),MIN(MAX(V101-E101*Irri_man-C101,0),Lame_max),0)</f>
        <v>0</v>
      </c>
      <c r="Y101" s="99">
        <f ca="1">MIN(MAX(T101-C101-IF(fw&gt;0,X101/fw*Irri_auto+E101/fw*Irri_man,0),0),TEW)</f>
        <v>1.01514945590742</v>
      </c>
      <c r="Z101" s="99">
        <f ca="1">MIN(MAX(U101-C101,0),TEW)</f>
        <v>0.647542455206059</v>
      </c>
      <c r="AA101" s="99">
        <f ca="1">MIN(MAX(V101-C101-(X101*Irri_auto+E101*Irri_man),0),R101)</f>
        <v>1.67527908697538</v>
      </c>
      <c r="AB101" s="99">
        <f ca="1">MIN(MAX(W101+MIN(V101-C101-(X101*Irri_auto+E101*Irri_man),0),0),S101)</f>
        <v>1.24055739193771e-8</v>
      </c>
      <c r="AC101" s="99">
        <f ca="1">-MIN(W101+MIN(V101-C101-(X101*Irri_auto+E101*Irri_man),0),0)</f>
        <v>0</v>
      </c>
      <c r="AD101" s="39">
        <f ca="1">IF(((R101-AA101)/P101-((Wfc-Wwp)*Ze-Y101)/Ze)/Wfc*DiffE&lt;0,MAX(((R101-AA101)/P101-((Wfc-Wwp)*Ze-Y101)/Ze)/Wfc*DiffE,(R101*Ze-((Wfc-Wwp)*Ze-Y101-AA101)*P101)/(P101+Ze)-AA101),MIN(((R101-AA101)/P101-((Wfc-Wwp)*Ze-Y101)/Ze)/Wfc*DiffE,(R101*Ze-((Wfc-Wwp)*Ze-Y101-AA101)*P101)/(P101+Ze)-AA101))</f>
        <v>1.0358003287069e-8</v>
      </c>
      <c r="AE101" s="39">
        <f ca="1">IF(((R101-AA101)/P101-((Wfc-Wwp)*Ze-Z101)/Ze)/Wfc*DiffE&lt;0,MAX(((R101-AA101)/P101-((Wfc-Wwp)*Ze-Z101)/Ze)/Wfc*DiffE,(R101*Ze-((Wfc-Wwp)*Ze-Z101-AA101)*P101)/(P101+Ze)-AA101),MIN(((R101-AA101)/P101-((Wfc-Wwp)*Ze-Z101)/Ze)/Wfc*DiffE,(R101*Ze-((Wfc-Wwp)*Ze-Z101-AA101)*P101)/(P101+Ze)-AA101))</f>
        <v>3.00586327304186e-9</v>
      </c>
      <c r="AF101" s="39">
        <f ca="1">IF(((S101-AB101)/Q101-(R101-AA101)/P101)/Wfc*DiffR&lt;0,MAX(((S101-AB101)/Q101-(R101-AA101)/P101)/Wfc*DiffR,(S101*P101-(R101-AA101-AB101)*Q101)/(P101+Q101)-AB101),MIN(((S101-AB101)/Q101-(R101-AA101)/P101)/Wfc*DiffR,(S101*P101-(R101-AA101-AB101)*Q101)/(P101+Q101)-AB101))</f>
        <v>9.94498567016687e-9</v>
      </c>
      <c r="AG101" s="99">
        <f ca="1">MIN(MAX(Y101+IF(AU101&gt;0,B101*AZ101/AU101,0)+BE101-AD101,0),TEW)</f>
        <v>1.28699283598595</v>
      </c>
      <c r="AH101" s="99">
        <f ca="1">MIN(MAX(Z101+IF(AV101&gt;0,B101*BA101/AV101,0)+BF101-AE101,0),TEW)</f>
        <v>0.840032475472903</v>
      </c>
      <c r="AI101" s="99">
        <f ca="1" t="shared" si="12"/>
        <v>2.09995119109994</v>
      </c>
      <c r="AJ101" s="99">
        <f ca="1" t="shared" si="13"/>
        <v>2.2350559589544e-8</v>
      </c>
      <c r="AK101" s="70">
        <f ca="1">IF((AU101+AV101)&gt;0,(TEW-(AG101*AU101+AH101*AV101)/(AU101+AV101))/TEW,(TEW-(AG101+AH101)/2)/TEW)</f>
        <v>0.961147386083443</v>
      </c>
      <c r="AL101" s="70">
        <f ca="1" t="shared" si="14"/>
        <v>0.961643158207881</v>
      </c>
      <c r="AM101" s="70">
        <f ca="1" t="shared" si="15"/>
        <v>0.999999999107973</v>
      </c>
      <c r="AN101" s="70">
        <f ca="1">Wwp+(Wfc-Wwp)*IF((AU101+AV101)&gt;0,(TEW-(AG101*AU101+AH101*AV101)/(AU101+AV101))/TEW,(TEW-(AG101+AH101)/2)/TEW)</f>
        <v>0.394949160190848</v>
      </c>
      <c r="AO101" s="70">
        <f ca="1">Wwp+(Wfc-Wwp)*(R101-AI101)/R101</f>
        <v>0.395013610567025</v>
      </c>
      <c r="AP101" s="70">
        <f ca="1">Wwp+(Wfc-Wwp)*(S101-AJ101)/S101</f>
        <v>0.399999999884037</v>
      </c>
      <c r="AQ101" s="70"/>
      <c r="AR101" s="70"/>
      <c r="AS101" s="70"/>
      <c r="AT101" s="70"/>
      <c r="AU101" s="70">
        <f ca="1">MIN((1-G101),fw)</f>
        <v>0.370666666666667</v>
      </c>
      <c r="AV101" s="70">
        <f ca="1" t="shared" si="16"/>
        <v>0</v>
      </c>
      <c r="AW101" s="70">
        <f ca="1">MIN((TEW-Y101)/(TEW-REW),1)</f>
        <v>0.123377629589798</v>
      </c>
      <c r="AX101" s="70">
        <f ca="1">MIN((TEW-Z101)/(TEW-REW),1)</f>
        <v>0.124790108302673</v>
      </c>
      <c r="AY101" s="70">
        <f ca="1">IF((AU101*(TEW-Y101))&gt;0,1/(1+((AV101*(TEW-Z101))/(AU101*(TEW-Y101)))),0)</f>
        <v>1</v>
      </c>
      <c r="AZ101" s="70">
        <f ca="1">MIN((AY101*AW101*(Kcmax-H101)),AU101*Kcmax)</f>
        <v>0.0543547533868767</v>
      </c>
      <c r="BA101" s="70">
        <f ca="1">MIN(((1-AY101)*AX101*(Kcmax-H101)),AV101*Kcmax)</f>
        <v>0</v>
      </c>
      <c r="BB101" s="70">
        <f ca="1" t="shared" si="17"/>
        <v>0.0302212428831035</v>
      </c>
      <c r="BC101" s="70">
        <f ca="1">MIN((R101-AA101)/(R101*(1-(p+0.04*(5-I100)))),1)</f>
        <v>1</v>
      </c>
      <c r="BD101" s="10">
        <f ca="1" t="shared" si="18"/>
        <v>0.394450871186437</v>
      </c>
      <c r="BE101" s="70">
        <f ca="1">MIN(IF((1-AA101/R101)&gt;0,(1-Y101/TEW)/(1-AA101/R101)*(Ze/P101)^0.6,0),1)*BC101*H101*B101</f>
        <v>0.190311260356225</v>
      </c>
      <c r="BF101" s="70">
        <f ca="1">MIN(IF((1-AA101/R101)&gt;0,(1-Z101/TEW)/(1-AA101/R101)*(Ze/P101)^0.6,0),1)*BC101*H101*B101</f>
        <v>0.192490023272707</v>
      </c>
      <c r="BH101" s="10">
        <f ca="1" t="shared" si="19"/>
        <v>0.00944995634338489</v>
      </c>
      <c r="BI101" s="10">
        <f ca="1">IF(F101&lt;&gt;"",(Moy_Etobs-F101)^2,"")</f>
        <v>1.18154633094709</v>
      </c>
    </row>
    <row r="102" spans="1:61">
      <c r="A102" s="38">
        <v>39095</v>
      </c>
      <c r="B102" s="10">
        <v>0.36</v>
      </c>
      <c r="C102" s="39">
        <v>0.198</v>
      </c>
      <c r="D102">
        <v>0.626</v>
      </c>
      <c r="E102" s="39">
        <v>0</v>
      </c>
      <c r="F102"/>
      <c r="G102" s="10">
        <f ca="1">MIN(MAX(IF(AND(Durpla&gt;ROW()-MATCH(NDVImax,INDEX(D:D,Lig_min,1):INDEX(D:D,Lig_max,1),0)-Lig_min+1,ROW()-MATCH(NDVImax,INDEX(D:D,Lig_min,1):INDEX(D:D,Lig_max,1),0)-Lig_min+1&gt;0,D102*a_fc+b_fc&gt;fc_fin),NDVImax*a_fc+b_fc,D102*a_fc+b_fc),0),1)</f>
        <v>0.634666666666667</v>
      </c>
      <c r="H102" s="55">
        <f>MIN(MAX(D102*a_kcb+b_kcb,0),Kcmax)</f>
        <v>0.715456250322917</v>
      </c>
      <c r="I102" s="70">
        <f ca="1" t="shared" si="11"/>
        <v>0.276820536150147</v>
      </c>
      <c r="O102" s="55"/>
      <c r="P102" s="35">
        <f ca="1">IF(ROW()-MATCH(NDVImax,INDEX(D:D,Lig_min,1):INDEX(D:D,Lig_max,1),0)-Lig_min+1&gt;0,MAX(MIN(Zr_min+MAX(INDEX(G:G,Lig_min,1):INDEX(G:G,Lig_max,1))/MAX(MAX(INDEX(G:G,Lig_min,1):INDEX(G:G,Lig_max,1)),Max_fc_pour_Zrmax)*(Zr_max-Zr_min),Zr_max),Ze+0.001),MAX(MIN(Zr_min+G102/MAX(MAX(INDEX(G:G,Lig_min,1):INDEX(G:G,Lig_max,1)),Max_fc_pour_Zrmax)*(Zr_max-Zr_min),Zr_max),Ze+0.001))</f>
        <v>423.646252229882</v>
      </c>
      <c r="Q102" s="35">
        <f ca="1">IF(Z_sol&gt;0,Z_sol-P102,0.1)</f>
        <v>190.228298834552</v>
      </c>
      <c r="R102" s="35">
        <f ca="1">(Wfc-Wwp)*P102</f>
        <v>55.0740127898847</v>
      </c>
      <c r="S102" s="35">
        <f ca="1">(Wfc-Wwp)*Q102</f>
        <v>24.7296788484918</v>
      </c>
      <c r="T102" s="99">
        <f ca="1" t="shared" si="20"/>
        <v>1.28699283598595</v>
      </c>
      <c r="U102" s="99">
        <f ca="1" t="shared" si="21"/>
        <v>0.840032475472903</v>
      </c>
      <c r="V102" s="99">
        <f ca="1">IF(P102&gt;P101,IF(Q102&gt;1,MAX(AI101+(Wfc-Wwp)*(P102-P101)*AJ101/S101,0),AI101/P101*P102),MAX(AI101+(Wfc-Wwp)*(P102-P101)*AI101/R101,0))</f>
        <v>2.09995119139096</v>
      </c>
      <c r="W102" s="99">
        <f ca="1">IF(S102&gt;1,IF(P102&gt;P101,MAX(AJ101-(Wfc-Wwp)*(P102-P101)*AJ101/S101,0),MAX(AJ101-(Wfc-Wwp)*(P102-P101)*AI101/R101,0)),0)</f>
        <v>2.20595339075725e-8</v>
      </c>
      <c r="X102" s="99">
        <f ca="1">IF(AND(OR(AND(dec_vide_TAW&lt;0,V102&gt;R102*(p+0.04*(5-I101))),AND(dec_vide_TAW&gt;0,V102&gt;R102*dec_vide_TAW)),H102&gt;MAX(INDEX(H:H,Lig_min,1):INDEX(H:H,ROW(X102),1))*Kcbmax_stop_irrig*IF(ROW(X102)-lig_kcbmax&gt;0,1,0),MIN(INDEX(H:H,ROW(X102),1):INDEX(H:H,lig_kcbmax,1))&gt;Kcbmin_start_irrig),MIN(MAX(V102-E102*Irri_man-C102,0),Lame_max),0)</f>
        <v>0</v>
      </c>
      <c r="Y102" s="99">
        <f ca="1">MIN(MAX(T102-C102-IF(fw&gt;0,X102/fw*Irri_auto+E102/fw*Irri_man,0),0),TEW)</f>
        <v>1.08899283598595</v>
      </c>
      <c r="Z102" s="99">
        <f ca="1">MIN(MAX(U102-C102,0),TEW)</f>
        <v>0.642032475472903</v>
      </c>
      <c r="AA102" s="99">
        <f ca="1">MIN(MAX(V102-C102-(X102*Irri_auto+E102*Irri_man),0),R102)</f>
        <v>1.90195119139096</v>
      </c>
      <c r="AB102" s="99">
        <f ca="1">MIN(MAX(W102+MIN(V102-C102-(X102*Irri_auto+E102*Irri_man),0),0),S102)</f>
        <v>2.20595339075725e-8</v>
      </c>
      <c r="AC102" s="99">
        <f ca="1">-MIN(W102+MIN(V102-C102-(X102*Irri_auto+E102*Irri_man),0),0)</f>
        <v>0</v>
      </c>
      <c r="AD102" s="39">
        <f ca="1">IF(((R102-AA102)/P102-((Wfc-Wwp)*Ze-Y102)/Ze)/Wfc*DiffE&lt;0,MAX(((R102-AA102)/P102-((Wfc-Wwp)*Ze-Y102)/Ze)/Wfc*DiffE,(R102*Ze-((Wfc-Wwp)*Ze-Y102-AA102)*P102)/(P102+Ze)-AA102),MIN(((R102-AA102)/P102-((Wfc-Wwp)*Ze-Y102)/Ze)/Wfc*DiffE,(R102*Ze-((Wfc-Wwp)*Ze-Y102-AA102)*P102)/(P102+Ze)-AA102))</f>
        <v>1.05561578118452e-8</v>
      </c>
      <c r="AE102" s="39">
        <f ca="1">IF(((R102-AA102)/P102-((Wfc-Wwp)*Ze-Z102)/Ze)/Wfc*DiffE&lt;0,MAX(((R102-AA102)/P102-((Wfc-Wwp)*Ze-Z102)/Ze)/Wfc*DiffE,(R102*Ze-((Wfc-Wwp)*Ze-Z102-AA102)*P102)/(P102+Ze)-AA102),MIN(((R102-AA102)/P102-((Wfc-Wwp)*Ze-Z102)/Ze)/Wfc*DiffE,(R102*Ze-((Wfc-Wwp)*Ze-Z102-AA102)*P102)/(P102+Ze)-AA102))</f>
        <v>1.61695060158413e-9</v>
      </c>
      <c r="AF102" s="39">
        <f ca="1">IF(((S102-AB102)/Q102-(R102-AA102)/P102)/Wfc*DiffR&lt;0,MAX(((S102-AB102)/Q102-(R102-AA102)/P102)/Wfc*DiffR,(S102*P102-(R102-AA102-AB102)*Q102)/(P102+Q102)-AB102),MIN(((S102-AB102)/Q102-(R102-AA102)/P102)/Wfc*DiffR,(S102*P102-(R102-AA102-AB102)*Q102)/(P102+Q102)-AB102))</f>
        <v>1.12236986179653e-8</v>
      </c>
      <c r="AG102" s="99">
        <f ca="1">MIN(MAX(Y102+IF(AU102&gt;0,B102*AZ102/AU102,0)+BE102-AD102,0),TEW)</f>
        <v>1.26574550164675</v>
      </c>
      <c r="AH102" s="99">
        <f ca="1">MIN(MAX(Z102+IF(AV102&gt;0,B102*BA102/AV102,0)+BF102-AE102,0),TEW)</f>
        <v>0.767806974651597</v>
      </c>
      <c r="AI102" s="99">
        <f ca="1" t="shared" si="12"/>
        <v>2.17877171631741</v>
      </c>
      <c r="AJ102" s="99">
        <f ca="1" t="shared" si="13"/>
        <v>3.32832325255377e-8</v>
      </c>
      <c r="AK102" s="70">
        <f ca="1">IF((AU102+AV102)&gt;0,(TEW-(AG102*AU102+AH102*AV102)/(AU102+AV102))/TEW,(TEW-(AG102+AH102)/2)/TEW)</f>
        <v>0.961788815044627</v>
      </c>
      <c r="AL102" s="70">
        <f ca="1" t="shared" si="14"/>
        <v>0.960439205244954</v>
      </c>
      <c r="AM102" s="70">
        <f ca="1" t="shared" si="15"/>
        <v>0.999999998654118</v>
      </c>
      <c r="AN102" s="70">
        <f ca="1">Wwp+(Wfc-Wwp)*IF((AU102+AV102)&gt;0,(TEW-(AG102*AU102+AH102*AV102)/(AU102+AV102))/TEW,(TEW-(AG102+AH102)/2)/TEW)</f>
        <v>0.395032545955802</v>
      </c>
      <c r="AO102" s="70">
        <f ca="1">Wwp+(Wfc-Wwp)*(R102-AI102)/R102</f>
        <v>0.394857096681844</v>
      </c>
      <c r="AP102" s="70">
        <f ca="1">Wwp+(Wfc-Wwp)*(S102-AJ102)/S102</f>
        <v>0.399999999825035</v>
      </c>
      <c r="AQ102" s="70"/>
      <c r="AR102" s="70"/>
      <c r="AS102" s="70"/>
      <c r="AT102" s="70"/>
      <c r="AU102" s="70">
        <f ca="1">MIN((1-G102),fw)</f>
        <v>0.365333333333333</v>
      </c>
      <c r="AV102" s="70">
        <f ca="1" t="shared" si="16"/>
        <v>0</v>
      </c>
      <c r="AW102" s="70">
        <f ca="1">MIN((TEW-Y102)/(TEW-REW),1)</f>
        <v>0.123093896684144</v>
      </c>
      <c r="AX102" s="70">
        <f ca="1">MIN((TEW-Z102)/(TEW-REW),1)</f>
        <v>0.124811279632563</v>
      </c>
      <c r="AY102" s="70">
        <f ca="1">IF((AU102*(TEW-Y102))&gt;0,1/(1+((AV102*(TEW-Z102))/(AU102*(TEW-Y102)))),0)</f>
        <v>1</v>
      </c>
      <c r="AZ102" s="70">
        <f ca="1">MIN((AY102*AW102*(Kcmax-H102)),AU102*Kcmax)</f>
        <v>0.0534896834274912</v>
      </c>
      <c r="BA102" s="70">
        <f ca="1">MIN(((1-AY102)*AX102*(Kcmax-H102)),AV102*Kcmax)</f>
        <v>0</v>
      </c>
      <c r="BB102" s="70">
        <f ca="1" t="shared" si="17"/>
        <v>0.0192562860338968</v>
      </c>
      <c r="BC102" s="70">
        <f ca="1">MIN((R102-AA102)/(R102*(1-(p+0.04*(5-I101)))),1)</f>
        <v>1</v>
      </c>
      <c r="BD102" s="10">
        <f ca="1" t="shared" si="18"/>
        <v>0.25756425011625</v>
      </c>
      <c r="BE102" s="70">
        <f ca="1">MIN(IF((1-AA102/R102)&gt;0,(1-Y102/TEW)/(1-AA102/R102)*(Ze/P102)^0.6,0),1)*BC102*H102*B102</f>
        <v>0.124043864080371</v>
      </c>
      <c r="BF102" s="70">
        <f ca="1">MIN(IF((1-AA102/R102)&gt;0,(1-Z102/TEW)/(1-AA102/R102)*(Ze/P102)^0.6,0),1)*BC102*H102*B102</f>
        <v>0.125774500795644</v>
      </c>
      <c r="BH102" s="10" t="str">
        <f ca="1" t="shared" si="19"/>
        <v/>
      </c>
      <c r="BI102" s="10" t="str">
        <f ca="1">IF(F102&lt;&gt;"",(Moy_Etobs-F102)^2,"")</f>
        <v/>
      </c>
    </row>
    <row r="103" spans="1:61">
      <c r="A103" s="38">
        <v>39096</v>
      </c>
      <c r="B103" s="10">
        <v>0.622</v>
      </c>
      <c r="C103" s="39">
        <v>0</v>
      </c>
      <c r="D103">
        <v>0.629</v>
      </c>
      <c r="E103" s="39">
        <v>0</v>
      </c>
      <c r="F103" s="10">
        <v>0.3117492</v>
      </c>
      <c r="G103" s="10">
        <f ca="1">MIN(MAX(IF(AND(Durpla&gt;ROW()-MATCH(NDVImax,INDEX(D:D,Lig_min,1):INDEX(D:D,Lig_max,1),0)-Lig_min+1,ROW()-MATCH(NDVImax,INDEX(D:D,Lig_min,1):INDEX(D:D,Lig_max,1),0)-Lig_min+1&gt;0,D103*a_fc+b_fc&gt;fc_fin),NDVImax*a_fc+b_fc,D103*a_fc+b_fc),0),1)</f>
        <v>0.638666666666667</v>
      </c>
      <c r="H103" s="55">
        <f>MIN(MAX(D103*a_kcb+b_kcb,0),Kcmax)</f>
        <v>0.719965428371171</v>
      </c>
      <c r="I103" s="70">
        <f ca="1" t="shared" si="11"/>
        <v>0.480562177614136</v>
      </c>
      <c r="O103" s="55"/>
      <c r="P103" s="35">
        <f ca="1">IF(ROW()-MATCH(NDVImax,INDEX(D:D,Lig_min,1):INDEX(D:D,Lig_max,1),0)-Lig_min+1&gt;0,MAX(MIN(Zr_min+MAX(INDEX(G:G,Lig_min,1):INDEX(G:G,Lig_max,1))/MAX(MAX(INDEX(G:G,Lig_min,1):INDEX(G:G,Lig_max,1)),Max_fc_pour_Zrmax)*(Zr_max-Zr_min),Zr_max),Ze+0.001),MAX(MIN(Zr_min+G103/MAX(MAX(INDEX(G:G,Lig_min,1):INDEX(G:G,Lig_max,1)),Max_fc_pour_Zrmax)*(Zr_max-Zr_min),Zr_max),Ze+0.001))</f>
        <v>425.528476508642</v>
      </c>
      <c r="Q103" s="35">
        <f ca="1">IF(Z_sol&gt;0,Z_sol-P103,0.1)</f>
        <v>188.346074555792</v>
      </c>
      <c r="R103" s="35">
        <f ca="1">(Wfc-Wwp)*P103</f>
        <v>55.3187019461234</v>
      </c>
      <c r="S103" s="35">
        <f ca="1">(Wfc-Wwp)*Q103</f>
        <v>24.484989692253</v>
      </c>
      <c r="T103" s="99">
        <f ca="1" t="shared" si="20"/>
        <v>1.26574550164675</v>
      </c>
      <c r="U103" s="99">
        <f ca="1" t="shared" si="21"/>
        <v>0.767806974651597</v>
      </c>
      <c r="V103" s="99">
        <f ca="1">IF(P103&gt;P102,IF(Q103&gt;1,MAX(AI102+(Wfc-Wwp)*(P103-P102)*AJ102/S102,0),AI102/P102*P103),MAX(AI102+(Wfc-Wwp)*(P103-P102)*AI102/R102,0))</f>
        <v>2.17877171664674</v>
      </c>
      <c r="W103" s="99">
        <f ca="1">IF(S103&gt;1,IF(P103&gt;P102,MAX(AJ102-(Wfc-Wwp)*(P103-P102)*AJ102/S102,0),MAX(AJ102-(Wfc-Wwp)*(P103-P102)*AI102/R102,0)),0)</f>
        <v>3.29539097658906e-8</v>
      </c>
      <c r="X103" s="99">
        <f ca="1">IF(AND(OR(AND(dec_vide_TAW&lt;0,V103&gt;R103*(p+0.04*(5-I102))),AND(dec_vide_TAW&gt;0,V103&gt;R103*dec_vide_TAW)),H103&gt;MAX(INDEX(H:H,Lig_min,1):INDEX(H:H,ROW(X103),1))*Kcbmax_stop_irrig*IF(ROW(X103)-lig_kcbmax&gt;0,1,0),MIN(INDEX(H:H,ROW(X103),1):INDEX(H:H,lig_kcbmax,1))&gt;Kcbmin_start_irrig),MIN(MAX(V103-E103*Irri_man-C103,0),Lame_max),0)</f>
        <v>0</v>
      </c>
      <c r="Y103" s="99">
        <f ca="1">MIN(MAX(T103-C103-IF(fw&gt;0,X103/fw*Irri_auto+E103/fw*Irri_man,0),0),TEW)</f>
        <v>1.26574550164675</v>
      </c>
      <c r="Z103" s="99">
        <f ca="1">MIN(MAX(U103-C103,0),TEW)</f>
        <v>0.767806974651597</v>
      </c>
      <c r="AA103" s="99">
        <f ca="1">MIN(MAX(V103-C103-(X103*Irri_auto+E103*Irri_man),0),R103)</f>
        <v>2.17877171664674</v>
      </c>
      <c r="AB103" s="99">
        <f ca="1">MIN(MAX(W103+MIN(V103-C103-(X103*Irri_auto+E103*Irri_man),0),0),S103)</f>
        <v>3.29539097658906e-8</v>
      </c>
      <c r="AC103" s="99">
        <f ca="1">-MIN(W103+MIN(V103-C103-(X103*Irri_auto+E103*Irri_man),0),0)</f>
        <v>0</v>
      </c>
      <c r="AD103" s="39">
        <f ca="1">IF(((R103-AA103)/P103-((Wfc-Wwp)*Ze-Y103)/Ze)/Wfc*DiffE&lt;0,MAX(((R103-AA103)/P103-((Wfc-Wwp)*Ze-Y103)/Ze)/Wfc*DiffE,(R103*Ze-((Wfc-Wwp)*Ze-Y103-AA103)*P103)/(P103+Ze)-AA103),MIN(((R103-AA103)/P103-((Wfc-Wwp)*Ze-Y103)/Ze)/Wfc*DiffE,(R103*Ze-((Wfc-Wwp)*Ze-Y103-AA103)*P103)/(P103+Ze)-AA103))</f>
        <v>1.25145227678861e-8</v>
      </c>
      <c r="AE103" s="39">
        <f ca="1">IF(((R103-AA103)/P103-((Wfc-Wwp)*Ze-Z103)/Ze)/Wfc*DiffE&lt;0,MAX(((R103-AA103)/P103-((Wfc-Wwp)*Ze-Z103)/Ze)/Wfc*DiffE,(R103*Ze-((Wfc-Wwp)*Ze-Z103-AA103)*P103)/(P103+Ze)-AA103),MIN(((R103-AA103)/P103-((Wfc-Wwp)*Ze-Z103)/Ze)/Wfc*DiffE,(R103*Ze-((Wfc-Wwp)*Ze-Z103-AA103)*P103)/(P103+Ze)-AA103))</f>
        <v>2.55575222798315e-9</v>
      </c>
      <c r="AF103" s="39">
        <f ca="1">IF(((S103-AB103)/Q103-(R103-AA103)/P103)/Wfc*DiffR&lt;0,MAX(((S103-AB103)/Q103-(R103-AA103)/P103)/Wfc*DiffR,(S103*P103-(R103-AA103-AB103)*Q103)/(P103+Q103)-AB103),MIN(((S103-AB103)/Q103-(R103-AA103)/P103)/Wfc*DiffR,(S103*P103-(R103-AA103-AB103)*Q103)/(P103+Q103)-AB103))</f>
        <v>1.28003868276371e-8</v>
      </c>
      <c r="AG103" s="99">
        <f ca="1">MIN(MAX(Y103+IF(AU103&gt;0,B103*AZ103/AU103,0)+BE103-AD103,0),TEW)</f>
        <v>1.5713561772813</v>
      </c>
      <c r="AH103" s="99">
        <f ca="1">MIN(MAX(Z103+IF(AV103&gt;0,B103*BA103/AV103,0)+BF103-AE103,0),TEW)</f>
        <v>0.986158789924011</v>
      </c>
      <c r="AI103" s="99">
        <f ca="1" t="shared" si="12"/>
        <v>2.65933388146048</v>
      </c>
      <c r="AJ103" s="99">
        <f ca="1" t="shared" si="13"/>
        <v>4.57542965935277e-8</v>
      </c>
      <c r="AK103" s="70">
        <f ca="1">IF((AU103+AV103)&gt;0,(TEW-(AG103*AU103+AH103*AV103)/(AU103+AV103))/TEW,(TEW-(AG103+AH103)/2)/TEW)</f>
        <v>0.952562832383961</v>
      </c>
      <c r="AL103" s="70">
        <f ca="1" t="shared" si="14"/>
        <v>0.951927037549607</v>
      </c>
      <c r="AM103" s="70">
        <f ca="1" t="shared" si="15"/>
        <v>0.999999998131333</v>
      </c>
      <c r="AN103" s="70">
        <f ca="1">Wwp+(Wfc-Wwp)*IF((AU103+AV103)&gt;0,(TEW-(AG103*AU103+AH103*AV103)/(AU103+AV103))/TEW,(TEW-(AG103+AH103)/2)/TEW)</f>
        <v>0.393833168209915</v>
      </c>
      <c r="AO103" s="70">
        <f ca="1">Wwp+(Wfc-Wwp)*(R103-AI103)/R103</f>
        <v>0.393750514881449</v>
      </c>
      <c r="AP103" s="70">
        <f ca="1">Wwp+(Wfc-Wwp)*(S103-AJ103)/S103</f>
        <v>0.399999999757073</v>
      </c>
      <c r="AQ103" s="70"/>
      <c r="AR103" s="70"/>
      <c r="AS103" s="70"/>
      <c r="AT103" s="70"/>
      <c r="AU103" s="70">
        <f ca="1">MIN((1-G103),fw)</f>
        <v>0.361333333333333</v>
      </c>
      <c r="AV103" s="70">
        <f ca="1" t="shared" si="16"/>
        <v>0</v>
      </c>
      <c r="AW103" s="70">
        <f ca="1">MIN((TEW-Y103)/(TEW-REW),1)</f>
        <v>0.122414749178211</v>
      </c>
      <c r="AX103" s="70">
        <f ca="1">MIN((TEW-Z103)/(TEW-REW),1)</f>
        <v>0.124328008632898</v>
      </c>
      <c r="AY103" s="70">
        <f ca="1">IF((AU103*(TEW-Y103))&gt;0,1/(1+((AV103*(TEW-Z103))/(AU103*(TEW-Y103)))),0)</f>
        <v>1</v>
      </c>
      <c r="AZ103" s="70">
        <f ca="1">MIN((AY103*AW103*(Kcmax-H103)),AU103*Kcmax)</f>
        <v>0.0526425742239024</v>
      </c>
      <c r="BA103" s="70">
        <f ca="1">MIN(((1-AY103)*AX103*(Kcmax-H103)),AV103*Kcmax)</f>
        <v>0</v>
      </c>
      <c r="BB103" s="70">
        <f ca="1" t="shared" si="17"/>
        <v>0.0327436811672673</v>
      </c>
      <c r="BC103" s="70">
        <f ca="1">MIN((R103-AA103)/(R103*(1-(p+0.04*(5-I102)))),1)</f>
        <v>1</v>
      </c>
      <c r="BD103" s="10">
        <f ca="1" t="shared" si="18"/>
        <v>0.447818496446868</v>
      </c>
      <c r="BE103" s="70">
        <f ca="1">MIN(IF((1-AA103/R103)&gt;0,(1-Y103/TEW)/(1-AA103/R103)*(Ze/P103)^0.6,0),1)*BC103*H103*B103</f>
        <v>0.214991644328231</v>
      </c>
      <c r="BF103" s="70">
        <f ca="1">MIN(IF((1-AA103/R103)&gt;0,(1-Z103/TEW)/(1-AA103/R103)*(Ze/P103)^0.6,0),1)*BC103*H103*B103</f>
        <v>0.218351817828166</v>
      </c>
      <c r="BH103" s="10">
        <f ca="1" t="shared" si="19"/>
        <v>0.0284978214109506</v>
      </c>
      <c r="BI103" s="10">
        <f ca="1">IF(F103&lt;&gt;"",(Moy_Etobs-F103)^2,"")</f>
        <v>1.68252904375231</v>
      </c>
    </row>
    <row r="104" spans="1:61">
      <c r="A104" s="38">
        <v>39097</v>
      </c>
      <c r="B104" s="10">
        <v>0.555</v>
      </c>
      <c r="C104" s="39">
        <v>0</v>
      </c>
      <c r="D104">
        <v>0.632</v>
      </c>
      <c r="E104" s="39">
        <v>0</v>
      </c>
      <c r="F104"/>
      <c r="G104" s="10">
        <f ca="1">MIN(MAX(IF(AND(Durpla&gt;ROW()-MATCH(NDVImax,INDEX(D:D,Lig_min,1):INDEX(D:D,Lig_max,1),0)-Lig_min+1,ROW()-MATCH(NDVImax,INDEX(D:D,Lig_min,1):INDEX(D:D,Lig_max,1),0)-Lig_min+1&gt;0,D104*a_fc+b_fc&gt;fc_fin),NDVImax*a_fc+b_fc,D104*a_fc+b_fc),0),1)</f>
        <v>0.642666666666667</v>
      </c>
      <c r="H104" s="55">
        <f>MIN(MAX(D104*a_kcb+b_kcb,0),Kcmax)</f>
        <v>0.724474606419425</v>
      </c>
      <c r="I104" s="70">
        <f ca="1" t="shared" si="11"/>
        <v>0.430716358351498</v>
      </c>
      <c r="O104" s="55"/>
      <c r="P104" s="35">
        <f ca="1">IF(ROW()-MATCH(NDVImax,INDEX(D:D,Lig_min,1):INDEX(D:D,Lig_max,1),0)-Lig_min+1&gt;0,MAX(MIN(Zr_min+MAX(INDEX(G:G,Lig_min,1):INDEX(G:G,Lig_max,1))/MAX(MAX(INDEX(G:G,Lig_min,1):INDEX(G:G,Lig_max,1)),Max_fc_pour_Zrmax)*(Zr_max-Zr_min),Zr_max),Ze+0.001),MAX(MIN(Zr_min+G104/MAX(MAX(INDEX(G:G,Lig_min,1):INDEX(G:G,Lig_max,1)),Max_fc_pour_Zrmax)*(Zr_max-Zr_min),Zr_max),Ze+0.001))</f>
        <v>427.410700787401</v>
      </c>
      <c r="Q104" s="35">
        <f ca="1">IF(Z_sol&gt;0,Z_sol-P104,0.1)</f>
        <v>186.463850277033</v>
      </c>
      <c r="R104" s="35">
        <f ca="1">(Wfc-Wwp)*P104</f>
        <v>55.5633911023622</v>
      </c>
      <c r="S104" s="35">
        <f ca="1">(Wfc-Wwp)*Q104</f>
        <v>24.2403005360142</v>
      </c>
      <c r="T104" s="99">
        <f ca="1" t="shared" si="20"/>
        <v>1.5713561772813</v>
      </c>
      <c r="U104" s="99">
        <f ca="1" t="shared" si="21"/>
        <v>0.986158789924011</v>
      </c>
      <c r="V104" s="99">
        <f ca="1">IF(P104&gt;P103,IF(Q104&gt;1,MAX(AI103+(Wfc-Wwp)*(P104-P103)*AJ103/S103,0),AI103/P103*P104),MAX(AI103+(Wfc-Wwp)*(P104-P103)*AI103/R103,0))</f>
        <v>2.65933388191773</v>
      </c>
      <c r="W104" s="99">
        <f ca="1">IF(S104&gt;1,IF(P104&gt;P103,MAX(AJ103-(Wfc-Wwp)*(P104-P103)*AJ103/S103,0),MAX(AJ103-(Wfc-Wwp)*(P104-P103)*AI103/R103,0)),0)</f>
        <v>4.52970539984324e-8</v>
      </c>
      <c r="X104" s="99">
        <f ca="1">IF(AND(OR(AND(dec_vide_TAW&lt;0,V104&gt;R104*(p+0.04*(5-I103))),AND(dec_vide_TAW&gt;0,V104&gt;R104*dec_vide_TAW)),H104&gt;MAX(INDEX(H:H,Lig_min,1):INDEX(H:H,ROW(X104),1))*Kcbmax_stop_irrig*IF(ROW(X104)-lig_kcbmax&gt;0,1,0),MIN(INDEX(H:H,ROW(X104),1):INDEX(H:H,lig_kcbmax,1))&gt;Kcbmin_start_irrig),MIN(MAX(V104-E104*Irri_man-C104,0),Lame_max),0)</f>
        <v>0</v>
      </c>
      <c r="Y104" s="99">
        <f ca="1">MIN(MAX(T104-C104-IF(fw&gt;0,X104/fw*Irri_auto+E104/fw*Irri_man,0),0),TEW)</f>
        <v>1.5713561772813</v>
      </c>
      <c r="Z104" s="99">
        <f ca="1">MIN(MAX(U104-C104,0),TEW)</f>
        <v>0.986158789924011</v>
      </c>
      <c r="AA104" s="99">
        <f ca="1">MIN(MAX(V104-C104-(X104*Irri_auto+E104*Irri_man),0),R104)</f>
        <v>2.65933388191773</v>
      </c>
      <c r="AB104" s="99">
        <f ca="1">MIN(MAX(W104+MIN(V104-C104-(X104*Irri_auto+E104*Irri_man),0),0),S104)</f>
        <v>4.52970539984324e-8</v>
      </c>
      <c r="AC104" s="99">
        <f ca="1">-MIN(W104+MIN(V104-C104-(X104*Irri_auto+E104*Irri_man),0),0)</f>
        <v>0</v>
      </c>
      <c r="AD104" s="39">
        <f ca="1">IF(((R104-AA104)/P104-((Wfc-Wwp)*Ze-Y104)/Ze)/Wfc*DiffE&lt;0,MAX(((R104-AA104)/P104-((Wfc-Wwp)*Ze-Y104)/Ze)/Wfc*DiffE,(R104*Ze-((Wfc-Wwp)*Ze-Y104-AA104)*P104)/(P104+Ze)-AA104),MIN(((R104-AA104)/P104-((Wfc-Wwp)*Ze-Y104)/Ze)/Wfc*DiffE,(R104*Ze-((Wfc-Wwp)*Ze-Y104-AA104)*P104)/(P104+Ze)-AA104))</f>
        <v>1.58722141983722e-8</v>
      </c>
      <c r="AE104" s="39">
        <f ca="1">IF(((R104-AA104)/P104-((Wfc-Wwp)*Ze-Z104)/Ze)/Wfc*DiffE&lt;0,MAX(((R104-AA104)/P104-((Wfc-Wwp)*Ze-Z104)/Ze)/Wfc*DiffE,(R104*Ze-((Wfc-Wwp)*Ze-Z104-AA104)*P104)/(P104+Ze)-AA104),MIN(((R104-AA104)/P104-((Wfc-Wwp)*Ze-Z104)/Ze)/Wfc*DiffE,(R104*Ze-((Wfc-Wwp)*Ze-Z104-AA104)*P104)/(P104+Ze)-AA104))</f>
        <v>4.16826645122628e-9</v>
      </c>
      <c r="AF104" s="39">
        <f ca="1">IF(((S104-AB104)/Q104-(R104-AA104)/P104)/Wfc*DiffR&lt;0,MAX(((S104-AB104)/Q104-(R104-AA104)/P104)/Wfc*DiffR,(S104*P104-(R104-AA104-AB104)*Q104)/(P104+Q104)-AB104),MIN(((S104-AB104)/Q104-(R104-AA104)/P104)/Wfc*DiffR,(S104*P104-(R104-AA104-AB104)*Q104)/(P104+Q104)-AB104))</f>
        <v>1.55549087399371e-8</v>
      </c>
      <c r="AG104" s="99">
        <f ca="1">MIN(MAX(Y104+IF(AU104&gt;0,B104*AZ104/AU104,0)+BE104-AD104,0),TEW)</f>
        <v>1.84386055201403</v>
      </c>
      <c r="AH104" s="99">
        <f ca="1">MIN(MAX(Z104+IF(AV104&gt;0,B104*BA104/AV104,0)+BF104-AE104,0),TEW)</f>
        <v>1.18210145267337</v>
      </c>
      <c r="AI104" s="99">
        <f ca="1" t="shared" si="12"/>
        <v>3.09005022471432</v>
      </c>
      <c r="AJ104" s="99">
        <f ca="1" t="shared" si="13"/>
        <v>6.08519627383695e-8</v>
      </c>
      <c r="AK104" s="70">
        <f ca="1">IF((AU104+AV104)&gt;0,(TEW-(AG104*AU104+AH104*AV104)/(AU104+AV104))/TEW,(TEW-(AG104+AH104)/2)/TEW)</f>
        <v>0.944336285222218</v>
      </c>
      <c r="AL104" s="70">
        <f ca="1" t="shared" si="14"/>
        <v>0.944386939612421</v>
      </c>
      <c r="AM104" s="70">
        <f ca="1" t="shared" si="15"/>
        <v>0.999999997489637</v>
      </c>
      <c r="AN104" s="70">
        <f ca="1">Wwp+(Wfc-Wwp)*IF((AU104+AV104)&gt;0,(TEW-(AG104*AU104+AH104*AV104)/(AU104+AV104))/TEW,(TEW-(AG104+AH104)/2)/TEW)</f>
        <v>0.392763717078888</v>
      </c>
      <c r="AO104" s="70">
        <f ca="1">Wwp+(Wfc-Wwp)*(R104-AI104)/R104</f>
        <v>0.392770302149615</v>
      </c>
      <c r="AP104" s="70">
        <f ca="1">Wwp+(Wfc-Wwp)*(S104-AJ104)/S104</f>
        <v>0.399999999673653</v>
      </c>
      <c r="AQ104" s="70"/>
      <c r="AR104" s="70"/>
      <c r="AS104" s="70"/>
      <c r="AT104" s="70"/>
      <c r="AU104" s="70">
        <f ca="1">MIN((1-G104),fw)</f>
        <v>0.357333333333333</v>
      </c>
      <c r="AV104" s="70">
        <f ca="1" t="shared" si="16"/>
        <v>0</v>
      </c>
      <c r="AW104" s="70">
        <f ca="1">MIN((TEW-Y104)/(TEW-REW),1)</f>
        <v>0.121240482711746</v>
      </c>
      <c r="AX104" s="70">
        <f ca="1">MIN((TEW-Z104)/(TEW-REW),1)</f>
        <v>0.123489022187043</v>
      </c>
      <c r="AY104" s="70">
        <f ca="1">IF((AU104*(TEW-Y104))&gt;0,1/(1+((AV104*(TEW-Z104))/(AU104*(TEW-Y104)))),0)</f>
        <v>1</v>
      </c>
      <c r="AZ104" s="70">
        <f ca="1">MIN((AY104*AW104*(Kcmax-H104)),AU104*Kcmax)</f>
        <v>0.0515909041238145</v>
      </c>
      <c r="BA104" s="70">
        <f ca="1">MIN(((1-AY104)*AX104*(Kcmax-H104)),AV104*Kcmax)</f>
        <v>0</v>
      </c>
      <c r="BB104" s="70">
        <f ca="1" t="shared" si="17"/>
        <v>0.0286329517887171</v>
      </c>
      <c r="BC104" s="70">
        <f ca="1">MIN((R104-AA104)/(R104*(1-(p+0.04*(5-I103)))),1)</f>
        <v>1</v>
      </c>
      <c r="BD104" s="10">
        <f ca="1" t="shared" si="18"/>
        <v>0.402083406562781</v>
      </c>
      <c r="BE104" s="70">
        <f ca="1">MIN(IF((1-AA104/R104)&gt;0,(1-Y104/TEW)/(1-AA104/R104)*(Ze/P104)^0.6,0),1)*BC104*H104*B104</f>
        <v>0.192374861345471</v>
      </c>
      <c r="BF104" s="70">
        <f ca="1">MIN(IF((1-AA104/R104)&gt;0,(1-Z104/TEW)/(1-AA104/R104)*(Ze/P104)^0.6,0),1)*BC104*H104*B104</f>
        <v>0.195942666917629</v>
      </c>
      <c r="BH104" s="10" t="str">
        <f ca="1" t="shared" si="19"/>
        <v/>
      </c>
      <c r="BI104" s="10" t="str">
        <f ca="1">IF(F104&lt;&gt;"",(Moy_Etobs-F104)^2,"")</f>
        <v/>
      </c>
    </row>
    <row r="105" spans="1:61">
      <c r="A105" s="38">
        <v>39098</v>
      </c>
      <c r="B105" s="10">
        <v>0.524</v>
      </c>
      <c r="C105" s="39">
        <v>0</v>
      </c>
      <c r="D105">
        <v>0.635</v>
      </c>
      <c r="E105" s="39">
        <v>0</v>
      </c>
      <c r="F105" s="10">
        <v>0.3764376</v>
      </c>
      <c r="G105" s="10">
        <f ca="1">MIN(MAX(IF(AND(Durpla&gt;ROW()-MATCH(NDVImax,INDEX(D:D,Lig_min,1):INDEX(D:D,Lig_max,1),0)-Lig_min+1,ROW()-MATCH(NDVImax,INDEX(D:D,Lig_min,1):INDEX(D:D,Lig_max,1),0)-Lig_min+1&gt;0,D105*a_fc+b_fc&gt;fc_fin),NDVImax*a_fc+b_fc,D105*a_fc+b_fc),0),1)</f>
        <v>0.646666666666667</v>
      </c>
      <c r="H105" s="55">
        <f>MIN(MAX(D105*a_kcb+b_kcb,0),Kcmax)</f>
        <v>0.728983784467678</v>
      </c>
      <c r="I105" s="70">
        <f ca="1" t="shared" si="11"/>
        <v>0.40850367413574</v>
      </c>
      <c r="O105" s="55"/>
      <c r="P105" s="35">
        <f ca="1">IF(ROW()-MATCH(NDVImax,INDEX(D:D,Lig_min,1):INDEX(D:D,Lig_max,1),0)-Lig_min+1&gt;0,MAX(MIN(Zr_min+MAX(INDEX(G:G,Lig_min,1):INDEX(G:G,Lig_max,1))/MAX(MAX(INDEX(G:G,Lig_min,1):INDEX(G:G,Lig_max,1)),Max_fc_pour_Zrmax)*(Zr_max-Zr_min),Zr_max),Ze+0.001),MAX(MIN(Zr_min+G105/MAX(MAX(INDEX(G:G,Lig_min,1):INDEX(G:G,Lig_max,1)),Max_fc_pour_Zrmax)*(Zr_max-Zr_min),Zr_max),Ze+0.001))</f>
        <v>429.292925066161</v>
      </c>
      <c r="Q105" s="35">
        <f ca="1">IF(Z_sol&gt;0,Z_sol-P105,0.1)</f>
        <v>184.581625998273</v>
      </c>
      <c r="R105" s="35">
        <f ca="1">(Wfc-Wwp)*P105</f>
        <v>55.808080258601</v>
      </c>
      <c r="S105" s="35">
        <f ca="1">(Wfc-Wwp)*Q105</f>
        <v>23.9956113797755</v>
      </c>
      <c r="T105" s="99">
        <f ca="1" t="shared" si="20"/>
        <v>1.84386055201403</v>
      </c>
      <c r="U105" s="99">
        <f ca="1" t="shared" si="21"/>
        <v>1.18210145267337</v>
      </c>
      <c r="V105" s="99">
        <f ca="1">IF(P105&gt;P104,IF(Q105&gt;1,MAX(AI104+(Wfc-Wwp)*(P105-P104)*AJ104/S104,0),AI104/P104*P105),MAX(AI104+(Wfc-Wwp)*(P105-P104)*AI104/R104,0))</f>
        <v>3.09005022532857</v>
      </c>
      <c r="W105" s="99">
        <f ca="1">IF(S105&gt;1,IF(P105&gt;P104,MAX(AJ104-(Wfc-Wwp)*(P105-P104)*AJ104/S104,0),MAX(AJ104-(Wfc-Wwp)*(P105-P104)*AI104/R104,0)),0)</f>
        <v>6.02377040415434e-8</v>
      </c>
      <c r="X105" s="99">
        <f ca="1">IF(AND(OR(AND(dec_vide_TAW&lt;0,V105&gt;R105*(p+0.04*(5-I104))),AND(dec_vide_TAW&gt;0,V105&gt;R105*dec_vide_TAW)),H105&gt;MAX(INDEX(H:H,Lig_min,1):INDEX(H:H,ROW(X105),1))*Kcbmax_stop_irrig*IF(ROW(X105)-lig_kcbmax&gt;0,1,0),MIN(INDEX(H:H,ROW(X105),1):INDEX(H:H,lig_kcbmax,1))&gt;Kcbmin_start_irrig),MIN(MAX(V105-E105*Irri_man-C105,0),Lame_max),0)</f>
        <v>0</v>
      </c>
      <c r="Y105" s="99">
        <f ca="1">MIN(MAX(T105-C105-IF(fw&gt;0,X105/fw*Irri_auto+E105/fw*Irri_man,0),0),TEW)</f>
        <v>1.84386055201403</v>
      </c>
      <c r="Z105" s="99">
        <f ca="1">MIN(MAX(U105-C105,0),TEW)</f>
        <v>1.18210145267337</v>
      </c>
      <c r="AA105" s="99">
        <f ca="1">MIN(MAX(V105-C105-(X105*Irri_auto+E105*Irri_man),0),R105)</f>
        <v>3.09005022532857</v>
      </c>
      <c r="AB105" s="99">
        <f ca="1">MIN(MAX(W105+MIN(V105-C105-(X105*Irri_auto+E105*Irri_man),0),0),S105)</f>
        <v>6.02377040415434e-8</v>
      </c>
      <c r="AC105" s="99">
        <f ca="1">-MIN(W105+MIN(V105-C105-(X105*Irri_auto+E105*Irri_man),0),0)</f>
        <v>0</v>
      </c>
      <c r="AD105" s="39">
        <f ca="1">IF(((R105-AA105)/P105-((Wfc-Wwp)*Ze-Y105)/Ze)/Wfc*DiffE&lt;0,MAX(((R105-AA105)/P105-((Wfc-Wwp)*Ze-Y105)/Ze)/Wfc*DiffE,(R105*Ze-((Wfc-Wwp)*Ze-Y105-AA105)*P105)/(P105+Ze)-AA105),MIN(((R105-AA105)/P105-((Wfc-Wwp)*Ze-Y105)/Ze)/Wfc*DiffE,(R105*Ze-((Wfc-Wwp)*Ze-Y105-AA105)*P105)/(P105+Ze)-AA105))</f>
        <v>1.88822124920729e-8</v>
      </c>
      <c r="AE105" s="39">
        <f ca="1">IF(((R105-AA105)/P105-((Wfc-Wwp)*Ze-Z105)/Ze)/Wfc*DiffE&lt;0,MAX(((R105-AA105)/P105-((Wfc-Wwp)*Ze-Z105)/Ze)/Wfc*DiffE,(R105*Ze-((Wfc-Wwp)*Ze-Z105-AA105)*P105)/(P105+Ze)-AA105),MIN(((R105-AA105)/P105-((Wfc-Wwp)*Ze-Z105)/Ze)/Wfc*DiffE,(R105*Ze-((Wfc-Wwp)*Ze-Z105-AA105)*P105)/(P105+Ze)-AA105))</f>
        <v>5.64703050525972e-9</v>
      </c>
      <c r="AF105" s="39">
        <f ca="1">IF(((S105-AB105)/Q105-(R105-AA105)/P105)/Wfc*DiffR&lt;0,MAX(((S105-AB105)/Q105-(R105-AA105)/P105)/Wfc*DiffR,(S105*P105-(R105-AA105-AB105)*Q105)/(P105+Q105)-AB105),MIN(((S105-AB105)/Q105-(R105-AA105)/P105)/Wfc*DiffR,(S105*P105-(R105-AA105-AB105)*Q105)/(P105+Q105)-AB105))</f>
        <v>1.79949977323396e-8</v>
      </c>
      <c r="AG105" s="99">
        <f ca="1">MIN(MAX(Y105+IF(AU105&gt;0,B105*AZ105/AU105,0)+BE105-AD105,0),TEW)</f>
        <v>2.10104721438306</v>
      </c>
      <c r="AH105" s="99">
        <f ca="1">MIN(MAX(Z105+IF(AV105&gt;0,B105*BA105/AV105,0)+BF105-AE105,0),TEW)</f>
        <v>1.36809559051881</v>
      </c>
      <c r="AI105" s="99">
        <f ca="1" t="shared" si="12"/>
        <v>3.49855388146932</v>
      </c>
      <c r="AJ105" s="99">
        <f ca="1" t="shared" si="13"/>
        <v>7.8232701773883e-8</v>
      </c>
      <c r="AK105" s="70">
        <f ca="1">IF((AU105+AV105)&gt;0,(TEW-(AG105*AU105+AH105*AV105)/(AU105+AV105))/TEW,(TEW-(AG105+AH105)/2)/TEW)</f>
        <v>0.936572159565794</v>
      </c>
      <c r="AL105" s="70">
        <f ca="1" t="shared" si="14"/>
        <v>0.937310979606217</v>
      </c>
      <c r="AM105" s="70">
        <f ca="1" t="shared" si="15"/>
        <v>0.999999996739708</v>
      </c>
      <c r="AN105" s="70">
        <f ca="1">Wwp+(Wfc-Wwp)*IF((AU105+AV105)&gt;0,(TEW-(AG105*AU105+AH105*AV105)/(AU105+AV105))/TEW,(TEW-(AG105+AH105)/2)/TEW)</f>
        <v>0.391754380743553</v>
      </c>
      <c r="AO105" s="70">
        <f ca="1">Wwp+(Wfc-Wwp)*(R105-AI105)/R105</f>
        <v>0.391850427348808</v>
      </c>
      <c r="AP105" s="70">
        <f ca="1">Wwp+(Wfc-Wwp)*(S105-AJ105)/S105</f>
        <v>0.399999999576162</v>
      </c>
      <c r="AQ105" s="70"/>
      <c r="AR105" s="70"/>
      <c r="AS105" s="70"/>
      <c r="AT105" s="70"/>
      <c r="AU105" s="70">
        <f ca="1">MIN((1-G105),fw)</f>
        <v>0.353333333333333</v>
      </c>
      <c r="AV105" s="70">
        <f ca="1" t="shared" si="16"/>
        <v>0</v>
      </c>
      <c r="AW105" s="70">
        <f ca="1">MIN((TEW-Y105)/(TEW-REW),1)</f>
        <v>0.12019342259662</v>
      </c>
      <c r="AX105" s="70">
        <f ca="1">MIN((TEW-Z105)/(TEW-REW),1)</f>
        <v>0.122736139789402</v>
      </c>
      <c r="AY105" s="70">
        <f ca="1">IF((AU105*(TEW-Y105))&gt;0,1/(1+((AV105*(TEW-Z105))/(AU105*(TEW-Y105)))),0)</f>
        <v>1</v>
      </c>
      <c r="AZ105" s="70">
        <f ca="1">MIN((AY105*AW105*(Kcmax-H105)),AU105*Kcmax)</f>
        <v>0.0506033799135059</v>
      </c>
      <c r="BA105" s="70">
        <f ca="1">MIN(((1-AY105)*AX105*(Kcmax-H105)),AV105*Kcmax)</f>
        <v>0</v>
      </c>
      <c r="BB105" s="70">
        <f ca="1" t="shared" si="17"/>
        <v>0.0265161710746771</v>
      </c>
      <c r="BC105" s="70">
        <f ca="1">MIN((R105-AA105)/(R105*(1-(p+0.04*(5-I104)))),1)</f>
        <v>1</v>
      </c>
      <c r="BD105" s="10">
        <f ca="1" t="shared" si="18"/>
        <v>0.381987503061063</v>
      </c>
      <c r="BE105" s="70">
        <f ca="1">MIN(IF((1-AA105/R105)&gt;0,(1-Y105/TEW)/(1-AA105/R105)*(Ze/P105)^0.6,0),1)*BC105*H105*B105</f>
        <v>0.182140914058764</v>
      </c>
      <c r="BF105" s="70">
        <f ca="1">MIN(IF((1-AA105/R105)&gt;0,(1-Z105/TEW)/(1-AA105/R105)*(Ze/P105)^0.6,0),1)*BC105*H105*B105</f>
        <v>0.185994143492462</v>
      </c>
      <c r="BH105" s="10">
        <f ca="1" t="shared" si="19"/>
        <v>0.0010282331104788</v>
      </c>
      <c r="BI105" s="10">
        <f ca="1">IF(F105&lt;&gt;"",(Moy_Etobs-F105)^2,"")</f>
        <v>1.51889596169431</v>
      </c>
    </row>
    <row r="106" spans="1:61">
      <c r="A106" s="38">
        <v>39099</v>
      </c>
      <c r="B106" s="10">
        <v>0.557</v>
      </c>
      <c r="C106" s="39">
        <v>0</v>
      </c>
      <c r="D106">
        <v>0.638</v>
      </c>
      <c r="E106" s="39">
        <v>0</v>
      </c>
      <c r="F106"/>
      <c r="G106" s="10">
        <f ca="1">MIN(MAX(IF(AND(Durpla&gt;ROW()-MATCH(NDVImax,INDEX(D:D,Lig_min,1):INDEX(D:D,Lig_max,1),0)-Lig_min+1,ROW()-MATCH(NDVImax,INDEX(D:D,Lig_min,1):INDEX(D:D,Lig_max,1),0)-Lig_min+1&gt;0,D106*a_fc+b_fc&gt;fc_fin),NDVImax*a_fc+b_fc,D106*a_fc+b_fc),0),1)</f>
        <v>0.650666666666667</v>
      </c>
      <c r="H106" s="55">
        <f>MIN(MAX(D106*a_kcb+b_kcb,0),Kcmax)</f>
        <v>0.733492962515932</v>
      </c>
      <c r="I106" s="70">
        <f ca="1" t="shared" si="11"/>
        <v>0.436210525670521</v>
      </c>
      <c r="O106" s="55"/>
      <c r="P106" s="35">
        <f ca="1">IF(ROW()-MATCH(NDVImax,INDEX(D:D,Lig_min,1):INDEX(D:D,Lig_max,1),0)-Lig_min+1&gt;0,MAX(MIN(Zr_min+MAX(INDEX(G:G,Lig_min,1):INDEX(G:G,Lig_max,1))/MAX(MAX(INDEX(G:G,Lig_min,1):INDEX(G:G,Lig_max,1)),Max_fc_pour_Zrmax)*(Zr_max-Zr_min),Zr_max),Ze+0.001),MAX(MIN(Zr_min+G106/MAX(MAX(INDEX(G:G,Lig_min,1):INDEX(G:G,Lig_max,1)),Max_fc_pour_Zrmax)*(Zr_max-Zr_min),Zr_max),Ze+0.001))</f>
        <v>431.175149344921</v>
      </c>
      <c r="Q106" s="35">
        <f ca="1">IF(Z_sol&gt;0,Z_sol-P106,0.1)</f>
        <v>182.699401719513</v>
      </c>
      <c r="R106" s="35">
        <f ca="1">(Wfc-Wwp)*P106</f>
        <v>56.0527694148397</v>
      </c>
      <c r="S106" s="35">
        <f ca="1">(Wfc-Wwp)*Q106</f>
        <v>23.7509222235367</v>
      </c>
      <c r="T106" s="99">
        <f ca="1" t="shared" si="20"/>
        <v>2.10104721438306</v>
      </c>
      <c r="U106" s="99">
        <f ca="1" t="shared" si="21"/>
        <v>1.36809559051881</v>
      </c>
      <c r="V106" s="99">
        <f ca="1">IF(P106&gt;P105,IF(Q106&gt;1,MAX(AI105+(Wfc-Wwp)*(P106-P105)*AJ105/S105,0),AI105/P105*P106),MAX(AI105+(Wfc-Wwp)*(P106-P105)*AI105/R105,0))</f>
        <v>3.49855388226708</v>
      </c>
      <c r="W106" s="99">
        <f ca="1">IF(S106&gt;1,IF(P106&gt;P105,MAX(AJ105-(Wfc-Wwp)*(P106-P105)*AJ105/S105,0),MAX(AJ105-(Wfc-Wwp)*(P106-P105)*AI105/R105,0)),0)</f>
        <v>7.7434943655352e-8</v>
      </c>
      <c r="X106" s="99">
        <f ca="1">IF(AND(OR(AND(dec_vide_TAW&lt;0,V106&gt;R106*(p+0.04*(5-I105))),AND(dec_vide_TAW&gt;0,V106&gt;R106*dec_vide_TAW)),H106&gt;MAX(INDEX(H:H,Lig_min,1):INDEX(H:H,ROW(X106),1))*Kcbmax_stop_irrig*IF(ROW(X106)-lig_kcbmax&gt;0,1,0),MIN(INDEX(H:H,ROW(X106),1):INDEX(H:H,lig_kcbmax,1))&gt;Kcbmin_start_irrig),MIN(MAX(V106-E106*Irri_man-C106,0),Lame_max),0)</f>
        <v>0</v>
      </c>
      <c r="Y106" s="99">
        <f ca="1">MIN(MAX(T106-C106-IF(fw&gt;0,X106/fw*Irri_auto+E106/fw*Irri_man,0),0),TEW)</f>
        <v>2.10104721438306</v>
      </c>
      <c r="Z106" s="99">
        <f ca="1">MIN(MAX(U106-C106,0),TEW)</f>
        <v>1.36809559051881</v>
      </c>
      <c r="AA106" s="99">
        <f ca="1">MIN(MAX(V106-C106-(X106*Irri_auto+E106*Irri_man),0),R106)</f>
        <v>3.49855388226708</v>
      </c>
      <c r="AB106" s="99">
        <f ca="1">MIN(MAX(W106+MIN(V106-C106-(X106*Irri_auto+E106*Irri_man),0),0),S106)</f>
        <v>7.7434943655352e-8</v>
      </c>
      <c r="AC106" s="99">
        <f ca="1">-MIN(W106+MIN(V106-C106-(X106*Irri_auto+E106*Irri_man),0),0)</f>
        <v>0</v>
      </c>
      <c r="AD106" s="39">
        <f ca="1">IF(((R106-AA106)/P106-((Wfc-Wwp)*Ze-Y106)/Ze)/Wfc*DiffE&lt;0,MAX(((R106-AA106)/P106-((Wfc-Wwp)*Ze-Y106)/Ze)/Wfc*DiffE,(R106*Ze-((Wfc-Wwp)*Ze-Y106-AA106)*P106)/(P106+Ze)-AA106),MIN(((R106-AA106)/P106-((Wfc-Wwp)*Ze-Y106)/Ze)/Wfc*DiffE,(R106*Ze-((Wfc-Wwp)*Ze-Y106-AA106)*P106)/(P106+Ze)-AA106))</f>
        <v>2.17359517064423e-8</v>
      </c>
      <c r="AE106" s="39">
        <f ca="1">IF(((R106-AA106)/P106-((Wfc-Wwp)*Ze-Z106)/Ze)/Wfc*DiffE&lt;0,MAX(((R106-AA106)/P106-((Wfc-Wwp)*Ze-Z106)/Ze)/Wfc*DiffE,(R106*Ze-((Wfc-Wwp)*Ze-Z106-AA106)*P106)/(P106+Ze)-AA106),MIN(((R106-AA106)/P106-((Wfc-Wwp)*Ze-Z106)/Ze)/Wfc*DiffE,(R106*Ze-((Wfc-Wwp)*Ze-Z106-AA106)*P106)/(P106+Ze)-AA106))</f>
        <v>7.07691922915716e-9</v>
      </c>
      <c r="AF106" s="39">
        <f ca="1">IF(((S106-AB106)/Q106-(R106-AA106)/P106)/Wfc*DiffR&lt;0,MAX(((S106-AB106)/Q106-(R106-AA106)/P106)/Wfc*DiffR,(S106*P106-(R106-AA106-AB106)*Q106)/(P106+Q106)-AB106),MIN(((S106-AB106)/Q106-(R106-AA106)/P106)/Wfc*DiffR,(S106*P106-(R106-AA106-AB106)*Q106)/(P106+Q106)-AB106))</f>
        <v>2.0284991521624e-8</v>
      </c>
      <c r="AG106" s="99">
        <f ca="1">MIN(MAX(Y106+IF(AU106&gt;0,B106*AZ106/AU106,0)+BE106-AD106,0),TEW)</f>
        <v>2.37436134722117</v>
      </c>
      <c r="AH106" s="99">
        <f ca="1">MIN(MAX(Z106+IF(AV106&gt;0,B106*BA106/AV106,0)+BF106-AE106,0),TEW)</f>
        <v>1.56683166041368</v>
      </c>
      <c r="AI106" s="99">
        <f ca="1" t="shared" si="12"/>
        <v>3.9347643876526</v>
      </c>
      <c r="AJ106" s="99">
        <f ca="1" t="shared" si="13"/>
        <v>9.77199351769761e-8</v>
      </c>
      <c r="AK106" s="70">
        <f ca="1">IF((AU106+AV106)&gt;0,(TEW-(AG106*AU106+AH106*AV106)/(AU106+AV106))/TEW,(TEW-(AG106+AH106)/2)/TEW)</f>
        <v>0.928321166876342</v>
      </c>
      <c r="AL106" s="70">
        <f ca="1" t="shared" si="14"/>
        <v>0.92980249809725</v>
      </c>
      <c r="AM106" s="70">
        <f ca="1" t="shared" si="15"/>
        <v>0.999999995885636</v>
      </c>
      <c r="AN106" s="70">
        <f ca="1">Wwp+(Wfc-Wwp)*IF((AU106+AV106)&gt;0,(TEW-(AG106*AU106+AH106*AV106)/(AU106+AV106))/TEW,(TEW-(AG106+AH106)/2)/TEW)</f>
        <v>0.390681751693924</v>
      </c>
      <c r="AO106" s="70">
        <f ca="1">Wwp+(Wfc-Wwp)*(R106-AI106)/R106</f>
        <v>0.390874324752643</v>
      </c>
      <c r="AP106" s="70">
        <f ca="1">Wwp+(Wfc-Wwp)*(S106-AJ106)/S106</f>
        <v>0.399999999465133</v>
      </c>
      <c r="AQ106" s="70"/>
      <c r="AR106" s="70"/>
      <c r="AS106" s="70"/>
      <c r="AT106" s="70"/>
      <c r="AU106" s="70">
        <f ca="1">MIN((1-G106),fw)</f>
        <v>0.349333333333333</v>
      </c>
      <c r="AV106" s="70">
        <f ca="1" t="shared" si="16"/>
        <v>0</v>
      </c>
      <c r="AW106" s="70">
        <f ca="1">MIN((TEW-Y106)/(TEW-REW),1)</f>
        <v>0.119205218658341</v>
      </c>
      <c r="AX106" s="70">
        <f ca="1">MIN((TEW-Z106)/(TEW-REW),1)</f>
        <v>0.122021483213425</v>
      </c>
      <c r="AY106" s="70">
        <f ca="1">IF((AU106*(TEW-Y106))&gt;0,1/(1+((AV106*(TEW-Z106))/(AU106*(TEW-Y106)))),0)</f>
        <v>1</v>
      </c>
      <c r="AZ106" s="70">
        <f ca="1">MIN((AY106*AW106*(Kcmax-H106)),AU106*Kcmax)</f>
        <v>0.0496498124760263</v>
      </c>
      <c r="BA106" s="70">
        <f ca="1">MIN(((1-AY106)*AX106*(Kcmax-H106)),AV106*Kcmax)</f>
        <v>0</v>
      </c>
      <c r="BB106" s="70">
        <f ca="1" t="shared" si="17"/>
        <v>0.0276549455491467</v>
      </c>
      <c r="BC106" s="70">
        <f ca="1">MIN((R106-AA106)/(R106*(1-(p+0.04*(5-I105)))),1)</f>
        <v>1</v>
      </c>
      <c r="BD106" s="10">
        <f ca="1" t="shared" si="18"/>
        <v>0.408555580121374</v>
      </c>
      <c r="BE106" s="70">
        <f ca="1">MIN(IF((1-AA106/R106)&gt;0,(1-Y106/TEW)/(1-AA106/R106)*(Ze/P106)^0.6,0),1)*BC106*H106*B106</f>
        <v>0.194149234108943</v>
      </c>
      <c r="BF106" s="70">
        <f ca="1">MIN(IF((1-AA106/R106)&gt;0,(1-Z106/TEW)/(1-AA106/R106)*(Ze/P106)^0.6,0),1)*BC106*H106*B106</f>
        <v>0.198736076971795</v>
      </c>
      <c r="BH106" s="10" t="str">
        <f ca="1" t="shared" si="19"/>
        <v/>
      </c>
      <c r="BI106" s="10" t="str">
        <f ca="1">IF(F106&lt;&gt;"",(Moy_Etobs-F106)^2,"")</f>
        <v/>
      </c>
    </row>
    <row r="107" spans="1:61">
      <c r="A107" s="38">
        <v>39100</v>
      </c>
      <c r="B107" s="10">
        <v>1.405</v>
      </c>
      <c r="C107" s="39">
        <v>0</v>
      </c>
      <c r="D107">
        <v>0.642</v>
      </c>
      <c r="E107" s="39">
        <v>0</v>
      </c>
      <c r="F107" s="10">
        <v>0.5357934</v>
      </c>
      <c r="G107" s="10">
        <f ca="1">MIN(MAX(IF(AND(Durpla&gt;ROW()-MATCH(NDVImax,INDEX(D:D,Lig_min,1):INDEX(D:D,Lig_max,1),0)-Lig_min+1,ROW()-MATCH(NDVImax,INDEX(D:D,Lig_min,1):INDEX(D:D,Lig_max,1),0)-Lig_min+1&gt;0,D107*a_fc+b_fc&gt;fc_fin),NDVImax*a_fc+b_fc,D107*a_fc+b_fc),0),1)</f>
        <v>0.656</v>
      </c>
      <c r="H107" s="55">
        <f>MIN(MAX(D107*a_kcb+b_kcb,0),Kcmax)</f>
        <v>0.739505199913604</v>
      </c>
      <c r="I107" s="70">
        <f ca="1" t="shared" si="11"/>
        <v>1.10715016148959</v>
      </c>
      <c r="O107" s="55"/>
      <c r="P107" s="35">
        <f ca="1">IF(ROW()-MATCH(NDVImax,INDEX(D:D,Lig_min,1):INDEX(D:D,Lig_max,1),0)-Lig_min+1&gt;0,MAX(MIN(Zr_min+MAX(INDEX(G:G,Lig_min,1):INDEX(G:G,Lig_max,1))/MAX(MAX(INDEX(G:G,Lig_min,1):INDEX(G:G,Lig_max,1)),Max_fc_pour_Zrmax)*(Zr_max-Zr_min),Zr_max),Ze+0.001),MAX(MIN(Zr_min+G107/MAX(MAX(INDEX(G:G,Lig_min,1):INDEX(G:G,Lig_max,1)),Max_fc_pour_Zrmax)*(Zr_max-Zr_min),Zr_max),Ze+0.001))</f>
        <v>433.684781716601</v>
      </c>
      <c r="Q107" s="35">
        <f ca="1">IF(Z_sol&gt;0,Z_sol-P107,0.1)</f>
        <v>180.189769347833</v>
      </c>
      <c r="R107" s="35">
        <f ca="1">(Wfc-Wwp)*P107</f>
        <v>56.3790216231581</v>
      </c>
      <c r="S107" s="35">
        <f ca="1">(Wfc-Wwp)*Q107</f>
        <v>23.4246700152183</v>
      </c>
      <c r="T107" s="99">
        <f ca="1" t="shared" si="20"/>
        <v>2.37436134722117</v>
      </c>
      <c r="U107" s="99">
        <f ca="1" t="shared" si="21"/>
        <v>1.56683166041368</v>
      </c>
      <c r="V107" s="99">
        <f ca="1">IF(P107&gt;P106,IF(Q107&gt;1,MAX(AI106+(Wfc-Wwp)*(P107-P106)*AJ106/S106,0),AI106/P106*P107),MAX(AI106+(Wfc-Wwp)*(P107-P106)*AI106/R106,0))</f>
        <v>3.93476438899492</v>
      </c>
      <c r="W107" s="99">
        <f ca="1">IF(S107&gt;1,IF(P107&gt;P106,MAX(AJ106-(Wfc-Wwp)*(P107-P106)*AJ106/S106,0),MAX(AJ106-(Wfc-Wwp)*(P107-P106)*AI106/R106,0)),0)</f>
        <v>9.63776148936558e-8</v>
      </c>
      <c r="X107" s="99">
        <f ca="1">IF(AND(OR(AND(dec_vide_TAW&lt;0,V107&gt;R107*(p+0.04*(5-I106))),AND(dec_vide_TAW&gt;0,V107&gt;R107*dec_vide_TAW)),H107&gt;MAX(INDEX(H:H,Lig_min,1):INDEX(H:H,ROW(X107),1))*Kcbmax_stop_irrig*IF(ROW(X107)-lig_kcbmax&gt;0,1,0),MIN(INDEX(H:H,ROW(X107),1):INDEX(H:H,lig_kcbmax,1))&gt;Kcbmin_start_irrig),MIN(MAX(V107-E107*Irri_man-C107,0),Lame_max),0)</f>
        <v>0</v>
      </c>
      <c r="Y107" s="99">
        <f ca="1">MIN(MAX(T107-C107-IF(fw&gt;0,X107/fw*Irri_auto+E107/fw*Irri_man,0),0),TEW)</f>
        <v>2.37436134722117</v>
      </c>
      <c r="Z107" s="99">
        <f ca="1">MIN(MAX(U107-C107,0),TEW)</f>
        <v>1.56683166041368</v>
      </c>
      <c r="AA107" s="99">
        <f ca="1">MIN(MAX(V107-C107-(X107*Irri_auto+E107*Irri_man),0),R107)</f>
        <v>3.93476438899492</v>
      </c>
      <c r="AB107" s="99">
        <f ca="1">MIN(MAX(W107+MIN(V107-C107-(X107*Irri_auto+E107*Irri_man),0),0),S107)</f>
        <v>9.63776148936558e-8</v>
      </c>
      <c r="AC107" s="99">
        <f ca="1">-MIN(W107+MIN(V107-C107-(X107*Irri_auto+E107*Irri_man),0),0)</f>
        <v>0</v>
      </c>
      <c r="AD107" s="39">
        <f ca="1">IF(((R107-AA107)/P107-((Wfc-Wwp)*Ze-Y107)/Ze)/Wfc*DiffE&lt;0,MAX(((R107-AA107)/P107-((Wfc-Wwp)*Ze-Y107)/Ze)/Wfc*DiffE,(R107*Ze-((Wfc-Wwp)*Ze-Y107-AA107)*P107)/(P107+Ze)-AA107),MIN(((R107-AA107)/P107-((Wfc-Wwp)*Ze-Y107)/Ze)/Wfc*DiffE,(R107*Ze-((Wfc-Wwp)*Ze-Y107-AA107)*P107)/(P107+Ze)-AA107))</f>
        <v>2.48050591875769e-8</v>
      </c>
      <c r="AE107" s="39">
        <f ca="1">IF(((R107-AA107)/P107-((Wfc-Wwp)*Ze-Z107)/Ze)/Wfc*DiffE&lt;0,MAX(((R107-AA107)/P107-((Wfc-Wwp)*Ze-Z107)/Ze)/Wfc*DiffE,(R107*Ze-((Wfc-Wwp)*Ze-Z107-AA107)*P107)/(P107+Ze)-AA107),MIN(((R107-AA107)/P107-((Wfc-Wwp)*Ze-Z107)/Ze)/Wfc*DiffE,(R107*Ze-((Wfc-Wwp)*Ze-Z107-AA107)*P107)/(P107+Ze)-AA107))</f>
        <v>8.65446545142708e-9</v>
      </c>
      <c r="AF107" s="39">
        <f ca="1">IF(((S107-AB107)/Q107-(R107-AA107)/P107)/Wfc*DiffR&lt;0,MAX(((S107-AB107)/Q107-(R107-AA107)/P107)/Wfc*DiffR,(S107*P107-(R107-AA107-AB107)*Q107)/(P107+Q107)-AB107),MIN(((S107-AB107)/Q107-(R107-AA107)/P107)/Wfc*DiffR,(S107*P107-(R107-AA107-AB107)*Q107)/(P107+Q107)-AB107))</f>
        <v>2.26821664196783e-8</v>
      </c>
      <c r="AG107" s="99">
        <f ca="1">MIN(MAX(Y107+IF(AU107&gt;0,B107*AZ107/AU107,0)+BE107-AD107,0),TEW)</f>
        <v>3.0640187030987</v>
      </c>
      <c r="AH107" s="99">
        <f ca="1">MIN(MAX(Z107+IF(AV107&gt;0,B107*BA107/AV107,0)+BF107-AE107,0),TEW)</f>
        <v>2.07130073138939</v>
      </c>
      <c r="AI107" s="99">
        <f ca="1" t="shared" si="12"/>
        <v>5.04191452780235</v>
      </c>
      <c r="AJ107" s="99">
        <f ca="1" t="shared" si="13"/>
        <v>1.19059781313334e-7</v>
      </c>
      <c r="AK107" s="70">
        <f ca="1">IF((AU107+AV107)&gt;0,(TEW-(AG107*AU107+AH107*AV107)/(AU107+AV107))/TEW,(TEW-(AG107+AH107)/2)/TEW)</f>
        <v>0.907501322170605</v>
      </c>
      <c r="AL107" s="70">
        <f ca="1" t="shared" si="14"/>
        <v>0.910571088631106</v>
      </c>
      <c r="AM107" s="70">
        <f ca="1" t="shared" si="15"/>
        <v>0.999999994917334</v>
      </c>
      <c r="AN107" s="70">
        <f ca="1">Wwp+(Wfc-Wwp)*IF((AU107+AV107)&gt;0,(TEW-(AG107*AU107+AH107*AV107)/(AU107+AV107))/TEW,(TEW-(AG107+AH107)/2)/TEW)</f>
        <v>0.387975171882179</v>
      </c>
      <c r="AO107" s="70">
        <f ca="1">Wwp+(Wfc-Wwp)*(R107-AI107)/R107</f>
        <v>0.388374241522044</v>
      </c>
      <c r="AP107" s="70">
        <f ca="1">Wwp+(Wfc-Wwp)*(S107-AJ107)/S107</f>
        <v>0.399999999339253</v>
      </c>
      <c r="AQ107" s="70"/>
      <c r="AR107" s="70"/>
      <c r="AS107" s="70"/>
      <c r="AT107" s="70"/>
      <c r="AU107" s="70">
        <f ca="1">MIN((1-G107),fw)</f>
        <v>0.344</v>
      </c>
      <c r="AV107" s="70">
        <f ca="1" t="shared" si="16"/>
        <v>0</v>
      </c>
      <c r="AW107" s="70">
        <f ca="1">MIN((TEW-Y107)/(TEW-REW),1)</f>
        <v>0.11815504716045</v>
      </c>
      <c r="AX107" s="70">
        <f ca="1">MIN((TEW-Z107)/(TEW-REW),1)</f>
        <v>0.121257867537795</v>
      </c>
      <c r="AY107" s="70">
        <f ca="1">IF((AU107*(TEW-Y107))&gt;0,1/(1+((AV107*(TEW-Z107))/(AU107*(TEW-Y107)))),0)</f>
        <v>1</v>
      </c>
      <c r="AZ107" s="70">
        <f ca="1">MIN((AY107*AW107*(Kcmax-H107)),AU107*Kcmax)</f>
        <v>0.0485020324633277</v>
      </c>
      <c r="BA107" s="70">
        <f ca="1">MIN(((1-AY107)*AX107*(Kcmax-H107)),AV107*Kcmax)</f>
        <v>0</v>
      </c>
      <c r="BB107" s="70">
        <f ca="1" t="shared" si="17"/>
        <v>0.0681453556109754</v>
      </c>
      <c r="BC107" s="70">
        <f ca="1">MIN((R107-AA107)/(R107*(1-(p+0.04*(5-I106)))),1)</f>
        <v>1</v>
      </c>
      <c r="BD107" s="10">
        <f ca="1" t="shared" si="18"/>
        <v>1.03900480587861</v>
      </c>
      <c r="BE107" s="70">
        <f ca="1">MIN(IF((1-AA107/R107)&gt;0,(1-Y107/TEW)/(1-AA107/R107)*(Ze/P107)^0.6,0),1)*BC107*H107*B107</f>
        <v>0.491560416697196</v>
      </c>
      <c r="BF107" s="70">
        <f ca="1">MIN(IF((1-AA107/R107)&gt;0,(1-Z107/TEW)/(1-AA107/R107)*(Ze/P107)^0.6,0),1)*BC107*H107*B107</f>
        <v>0.504469079630171</v>
      </c>
      <c r="BH107" s="10">
        <f ca="1" t="shared" si="19"/>
        <v>0.32644854889987</v>
      </c>
      <c r="BI107" s="10">
        <f ca="1">IF(F107&lt;&gt;"",(Moy_Etobs-F107)^2,"")</f>
        <v>1.15149891067378</v>
      </c>
    </row>
    <row r="108" spans="1:61">
      <c r="A108" s="38">
        <v>39101</v>
      </c>
      <c r="B108" s="10">
        <v>0.754</v>
      </c>
      <c r="C108" s="39">
        <v>0</v>
      </c>
      <c r="D108">
        <v>0.645</v>
      </c>
      <c r="E108" s="39">
        <v>0</v>
      </c>
      <c r="F108" s="10">
        <v>0.5190912</v>
      </c>
      <c r="G108" s="10">
        <f ca="1">MIN(MAX(IF(AND(Durpla&gt;ROW()-MATCH(NDVImax,INDEX(D:D,Lig_min,1):INDEX(D:D,Lig_max,1),0)-Lig_min+1,ROW()-MATCH(NDVImax,INDEX(D:D,Lig_min,1):INDEX(D:D,Lig_max,1),0)-Lig_min+1&gt;0,D108*a_fc+b_fc&gt;fc_fin),NDVImax*a_fc+b_fc,D108*a_fc+b_fc),0),1)</f>
        <v>0.66</v>
      </c>
      <c r="H108" s="55">
        <f>MIN(MAX(D108*a_kcb+b_kcb,0),Kcmax)</f>
        <v>0.744014377961857</v>
      </c>
      <c r="I108" s="70">
        <f ca="1" t="shared" si="11"/>
        <v>0.596344482680017</v>
      </c>
      <c r="O108" s="55"/>
      <c r="P108" s="35">
        <f ca="1">IF(ROW()-MATCH(NDVImax,INDEX(D:D,Lig_min,1):INDEX(D:D,Lig_max,1),0)-Lig_min+1&gt;0,MAX(MIN(Zr_min+MAX(INDEX(G:G,Lig_min,1):INDEX(G:G,Lig_max,1))/MAX(MAX(INDEX(G:G,Lig_min,1):INDEX(G:G,Lig_max,1)),Max_fc_pour_Zrmax)*(Zr_max-Zr_min),Zr_max),Ze+0.001),MAX(MIN(Zr_min+G108/MAX(MAX(INDEX(G:G,Lig_min,1):INDEX(G:G,Lig_max,1)),Max_fc_pour_Zrmax)*(Zr_max-Zr_min),Zr_max),Ze+0.001))</f>
        <v>435.56700599536</v>
      </c>
      <c r="Q108" s="35">
        <f ca="1">IF(Z_sol&gt;0,Z_sol-P108,0.1)</f>
        <v>178.307545069074</v>
      </c>
      <c r="R108" s="35">
        <f ca="1">(Wfc-Wwp)*P108</f>
        <v>56.6237107793969</v>
      </c>
      <c r="S108" s="35">
        <f ca="1">(Wfc-Wwp)*Q108</f>
        <v>23.1799808589796</v>
      </c>
      <c r="T108" s="99">
        <f ca="1" t="shared" si="20"/>
        <v>3.0640187030987</v>
      </c>
      <c r="U108" s="99">
        <f ca="1" t="shared" si="21"/>
        <v>2.07130073138939</v>
      </c>
      <c r="V108" s="99">
        <f ca="1">IF(P108&gt;P107,IF(Q108&gt;1,MAX(AI107+(Wfc-Wwp)*(P108-P107)*AJ107/S107,0),AI107/P107*P108),MAX(AI107+(Wfc-Wwp)*(P108-P107)*AI107/R107,0))</f>
        <v>5.04191452904602</v>
      </c>
      <c r="W108" s="99">
        <f ca="1">IF(S108&gt;1,IF(P108&gt;P107,MAX(AJ107-(Wfc-Wwp)*(P108-P107)*AJ107/S107,0),MAX(AJ107-(Wfc-Wwp)*(P108-P107)*AI107/R107,0)),0)</f>
        <v>1.17816107980365e-7</v>
      </c>
      <c r="X108" s="99">
        <f ca="1">IF(AND(OR(AND(dec_vide_TAW&lt;0,V108&gt;R108*(p+0.04*(5-I107))),AND(dec_vide_TAW&gt;0,V108&gt;R108*dec_vide_TAW)),H108&gt;MAX(INDEX(H:H,Lig_min,1):INDEX(H:H,ROW(X108),1))*Kcbmax_stop_irrig*IF(ROW(X108)-lig_kcbmax&gt;0,1,0),MIN(INDEX(H:H,ROW(X108),1):INDEX(H:H,lig_kcbmax,1))&gt;Kcbmin_start_irrig),MIN(MAX(V108-E108*Irri_man-C108,0),Lame_max),0)</f>
        <v>0</v>
      </c>
      <c r="Y108" s="99">
        <f ca="1">MIN(MAX(T108-C108-IF(fw&gt;0,X108/fw*Irri_auto+E108/fw*Irri_man,0),0),TEW)</f>
        <v>3.0640187030987</v>
      </c>
      <c r="Z108" s="99">
        <f ca="1">MIN(MAX(U108-C108,0),TEW)</f>
        <v>2.07130073138939</v>
      </c>
      <c r="AA108" s="99">
        <f ca="1">MIN(MAX(V108-C108-(X108*Irri_auto+E108*Irri_man),0),R108)</f>
        <v>5.04191452904602</v>
      </c>
      <c r="AB108" s="99">
        <f ca="1">MIN(MAX(W108+MIN(V108-C108-(X108*Irri_auto+E108*Irri_man),0),0),S108)</f>
        <v>1.17816107980365e-7</v>
      </c>
      <c r="AC108" s="99">
        <f ca="1">-MIN(W108+MIN(V108-C108-(X108*Irri_auto+E108*Irri_man),0),0)</f>
        <v>0</v>
      </c>
      <c r="AD108" s="39">
        <f ca="1">IF(((R108-AA108)/P108-((Wfc-Wwp)*Ze-Y108)/Ze)/Wfc*DiffE&lt;0,MAX(((R108-AA108)/P108-((Wfc-Wwp)*Ze-Y108)/Ze)/Wfc*DiffE,(R108*Ze-((Wfc-Wwp)*Ze-Y108-AA108)*P108)/(P108+Ze)-AA108),MIN(((R108-AA108)/P108-((Wfc-Wwp)*Ze-Y108)/Ze)/Wfc*DiffE,(R108*Ze-((Wfc-Wwp)*Ze-Y108-AA108)*P108)/(P108+Ze)-AA108))</f>
        <v>3.23415744074627e-8</v>
      </c>
      <c r="AE108" s="39">
        <f ca="1">IF(((R108-AA108)/P108-((Wfc-Wwp)*Ze-Z108)/Ze)/Wfc*DiffE&lt;0,MAX(((R108-AA108)/P108-((Wfc-Wwp)*Ze-Z108)/Ze)/Wfc*DiffE,(R108*Ze-((Wfc-Wwp)*Ze-Z108-AA108)*P108)/(P108+Ze)-AA108),MIN(((R108-AA108)/P108-((Wfc-Wwp)*Ze-Z108)/Ze)/Wfc*DiffE,(R108*Ze-((Wfc-Wwp)*Ze-Z108-AA108)*P108)/(P108+Ze)-AA108))</f>
        <v>1.24872149732765e-8</v>
      </c>
      <c r="AF108" s="39">
        <f ca="1">IF(((S108-AB108)/Q108-(R108-AA108)/P108)/Wfc*DiffR&lt;0,MAX(((S108-AB108)/Q108-(R108-AA108)/P108)/Wfc*DiffR,(S108*P108-(R108-AA108-AB108)*Q108)/(P108+Q108)-AB108),MIN(((S108-AB108)/Q108-(R108-AA108)/P108)/Wfc*DiffR,(S108*P108-(R108-AA108-AB108)*Q108)/(P108+Q108)-AB108))</f>
        <v>2.89387980026447e-8</v>
      </c>
      <c r="AG108" s="99">
        <f ca="1">MIN(MAX(Y108+IF(AU108&gt;0,B108*AZ108/AU108,0)+BE108-AD108,0),TEW)</f>
        <v>3.43226163295132</v>
      </c>
      <c r="AH108" s="99">
        <f ca="1">MIN(MAX(Z108+IF(AV108&gt;0,B108*BA108/AV108,0)+BF108-AE108,0),TEW)</f>
        <v>2.34427706638102</v>
      </c>
      <c r="AI108" s="99">
        <f ca="1" t="shared" si="12"/>
        <v>5.63825898278724</v>
      </c>
      <c r="AJ108" s="99">
        <f ca="1" t="shared" si="13"/>
        <v>1.4675490598301e-7</v>
      </c>
      <c r="AK108" s="70">
        <f ca="1">IF((AU108+AV108)&gt;0,(TEW-(AG108*AU108+AH108*AV108)/(AU108+AV108))/TEW,(TEW-(AG108+AH108)/2)/TEW)</f>
        <v>0.896384554476941</v>
      </c>
      <c r="AL108" s="70">
        <f ca="1" t="shared" si="14"/>
        <v>0.900425830360119</v>
      </c>
      <c r="AM108" s="70">
        <f ca="1" t="shared" si="15"/>
        <v>0.999999993668894</v>
      </c>
      <c r="AN108" s="70">
        <f ca="1">Wwp+(Wfc-Wwp)*IF((AU108+AV108)&gt;0,(TEW-(AG108*AU108+AH108*AV108)/(AU108+AV108))/TEW,(TEW-(AG108+AH108)/2)/TEW)</f>
        <v>0.386529992082002</v>
      </c>
      <c r="AO108" s="70">
        <f ca="1">Wwp+(Wfc-Wwp)*(R108-AI108)/R108</f>
        <v>0.387055357946815</v>
      </c>
      <c r="AP108" s="70">
        <f ca="1">Wwp+(Wfc-Wwp)*(S108-AJ108)/S108</f>
        <v>0.399999999176956</v>
      </c>
      <c r="AQ108" s="70"/>
      <c r="AR108" s="70"/>
      <c r="AS108" s="70"/>
      <c r="AT108" s="70"/>
      <c r="AU108" s="70">
        <f ca="1">MIN((1-G108),fw)</f>
        <v>0.34</v>
      </c>
      <c r="AV108" s="70">
        <f ca="1" t="shared" si="16"/>
        <v>0</v>
      </c>
      <c r="AW108" s="70">
        <f ca="1">MIN((TEW-Y108)/(TEW-REW),1)</f>
        <v>0.115505134801609</v>
      </c>
      <c r="AX108" s="70">
        <f ca="1">MIN((TEW-Z108)/(TEW-REW),1)</f>
        <v>0.119319515377205</v>
      </c>
      <c r="AY108" s="70">
        <f ca="1">IF((AU108*(TEW-Y108))&gt;0,1/(1+((AV108*(TEW-Z108))/(AU108*(TEW-Y108)))),0)</f>
        <v>1</v>
      </c>
      <c r="AZ108" s="70">
        <f ca="1">MIN((AY108*AW108*(Kcmax-H108)),AU108*Kcmax)</f>
        <v>0.0468934240010307</v>
      </c>
      <c r="BA108" s="70">
        <f ca="1">MIN(((1-AY108)*AX108*(Kcmax-H108)),AV108*Kcmax)</f>
        <v>0</v>
      </c>
      <c r="BB108" s="70">
        <f ca="1" t="shared" si="17"/>
        <v>0.0353576416967771</v>
      </c>
      <c r="BC108" s="70">
        <f ca="1">MIN((R108-AA108)/(R108*(1-(p+0.04*(5-I107)))),1)</f>
        <v>1</v>
      </c>
      <c r="BD108" s="10">
        <f ca="1" t="shared" si="18"/>
        <v>0.56098684098324</v>
      </c>
      <c r="BE108" s="70">
        <f ca="1">MIN(IF((1-AA108/R108)&gt;0,(1-Y108/TEW)/(1-AA108/R108)*(Ze/P108)^0.6,0),1)*BC108*H108*B108</f>
        <v>0.264249898380146</v>
      </c>
      <c r="BF108" s="70">
        <f ca="1">MIN(IF((1-AA108/R108)&gt;0,(1-Z108/TEW)/(1-AA108/R108)*(Ze/P108)^0.6,0),1)*BC108*H108*B108</f>
        <v>0.272976347478845</v>
      </c>
      <c r="BH108" s="10">
        <f ca="1" t="shared" si="19"/>
        <v>0.00596806968483869</v>
      </c>
      <c r="BI108" s="10">
        <f ca="1">IF(F108&lt;&gt;"",(Moy_Etobs-F108)^2,"")</f>
        <v>1.18762344007191</v>
      </c>
    </row>
    <row r="109" spans="1:61">
      <c r="A109" s="38">
        <v>39102</v>
      </c>
      <c r="B109" s="10">
        <v>0.578</v>
      </c>
      <c r="C109" s="39">
        <v>0</v>
      </c>
      <c r="D109">
        <v>0.648</v>
      </c>
      <c r="E109" s="39">
        <v>0</v>
      </c>
      <c r="F109" s="10">
        <v>0.3126546</v>
      </c>
      <c r="G109" s="10">
        <f ca="1">MIN(MAX(IF(AND(Durpla&gt;ROW()-MATCH(NDVImax,INDEX(D:D,Lig_min,1):INDEX(D:D,Lig_max,1),0)-Lig_min+1,ROW()-MATCH(NDVImax,INDEX(D:D,Lig_min,1):INDEX(D:D,Lig_max,1),0)-Lig_min+1&gt;0,D109*a_fc+b_fc&gt;fc_fin),NDVImax*a_fc+b_fc,D109*a_fc+b_fc),0),1)</f>
        <v>0.664</v>
      </c>
      <c r="H109" s="55">
        <f>MIN(MAX(D109*a_kcb+b_kcb,0),Kcmax)</f>
        <v>0.748523556010111</v>
      </c>
      <c r="I109" s="70">
        <f ca="1" t="shared" si="11"/>
        <v>0.459121635364921</v>
      </c>
      <c r="O109" s="55"/>
      <c r="P109" s="35">
        <f ca="1">IF(ROW()-MATCH(NDVImax,INDEX(D:D,Lig_min,1):INDEX(D:D,Lig_max,1),0)-Lig_min+1&gt;0,MAX(MIN(Zr_min+MAX(INDEX(G:G,Lig_min,1):INDEX(G:G,Lig_max,1))/MAX(MAX(INDEX(G:G,Lig_min,1):INDEX(G:G,Lig_max,1)),Max_fc_pour_Zrmax)*(Zr_max-Zr_min),Zr_max),Ze+0.001),MAX(MIN(Zr_min+G109/MAX(MAX(INDEX(G:G,Lig_min,1):INDEX(G:G,Lig_max,1)),Max_fc_pour_Zrmax)*(Zr_max-Zr_min),Zr_max),Ze+0.001))</f>
        <v>437.44923027412</v>
      </c>
      <c r="Q109" s="35">
        <f ca="1">IF(Z_sol&gt;0,Z_sol-P109,0.1)</f>
        <v>176.425320790314</v>
      </c>
      <c r="R109" s="35">
        <f ca="1">(Wfc-Wwp)*P109</f>
        <v>56.8683999356356</v>
      </c>
      <c r="S109" s="35">
        <f ca="1">(Wfc-Wwp)*Q109</f>
        <v>22.9352917027408</v>
      </c>
      <c r="T109" s="99">
        <f ca="1" t="shared" si="20"/>
        <v>3.43226163295132</v>
      </c>
      <c r="U109" s="99">
        <f ca="1" t="shared" si="21"/>
        <v>2.34427706638102</v>
      </c>
      <c r="V109" s="99">
        <f ca="1">IF(P109&gt;P108,IF(Q109&gt;1,MAX(AI108+(Wfc-Wwp)*(P109-P108)*AJ108/S108,0),AI108/P108*P109),MAX(AI108+(Wfc-Wwp)*(P109-P108)*AI108/R108,0))</f>
        <v>5.63825898433639</v>
      </c>
      <c r="W109" s="99">
        <f ca="1">IF(S109&gt;1,IF(P109&gt;P108,MAX(AJ108-(Wfc-Wwp)*(P109-P108)*AJ108/S108,0),MAX(AJ108-(Wfc-Wwp)*(P109-P108)*AI108/R108,0)),0)</f>
        <v>1.45205753102455e-7</v>
      </c>
      <c r="X109" s="99">
        <f ca="1">IF(AND(OR(AND(dec_vide_TAW&lt;0,V109&gt;R109*(p+0.04*(5-I108))),AND(dec_vide_TAW&gt;0,V109&gt;R109*dec_vide_TAW)),H109&gt;MAX(INDEX(H:H,Lig_min,1):INDEX(H:H,ROW(X109),1))*Kcbmax_stop_irrig*IF(ROW(X109)-lig_kcbmax&gt;0,1,0),MIN(INDEX(H:H,ROW(X109),1):INDEX(H:H,lig_kcbmax,1))&gt;Kcbmin_start_irrig),MIN(MAX(V109-E109*Irri_man-C109,0),Lame_max),0)</f>
        <v>0</v>
      </c>
      <c r="Y109" s="99">
        <f ca="1">MIN(MAX(T109-C109-IF(fw&gt;0,X109/fw*Irri_auto+E109/fw*Irri_man,0),0),TEW)</f>
        <v>3.43226163295132</v>
      </c>
      <c r="Z109" s="99">
        <f ca="1">MIN(MAX(U109-C109,0),TEW)</f>
        <v>2.34427706638102</v>
      </c>
      <c r="AA109" s="99">
        <f ca="1">MIN(MAX(V109-C109-(X109*Irri_auto+E109*Irri_man),0),R109)</f>
        <v>5.63825898433639</v>
      </c>
      <c r="AB109" s="99">
        <f ca="1">MIN(MAX(W109+MIN(V109-C109-(X109*Irri_auto+E109*Irri_man),0),0),S109)</f>
        <v>1.45205753102455e-7</v>
      </c>
      <c r="AC109" s="99">
        <f ca="1">-MIN(W109+MIN(V109-C109-(X109*Irri_auto+E109*Irri_man),0),0)</f>
        <v>0</v>
      </c>
      <c r="AD109" s="39">
        <f ca="1">IF(((R109-AA109)/P109-((Wfc-Wwp)*Ze-Y109)/Ze)/Wfc*DiffE&lt;0,MAX(((R109-AA109)/P109-((Wfc-Wwp)*Ze-Y109)/Ze)/Wfc*DiffE,(R109*Ze-((Wfc-Wwp)*Ze-Y109-AA109)*P109)/(P109+Ze)-AA109),MIN(((R109-AA109)/P109-((Wfc-Wwp)*Ze-Y109)/Ze)/Wfc*DiffE,(R109*Ze-((Wfc-Wwp)*Ze-Y109-AA109)*P109)/(P109+Ze)-AA109))</f>
        <v>3.64228706445632e-8</v>
      </c>
      <c r="AE109" s="39">
        <f ca="1">IF(((R109-AA109)/P109-((Wfc-Wwp)*Ze-Z109)/Ze)/Wfc*DiffE&lt;0,MAX(((R109-AA109)/P109-((Wfc-Wwp)*Ze-Z109)/Ze)/Wfc*DiffE,(R109*Ze-((Wfc-Wwp)*Ze-Z109-AA109)*P109)/(P109+Ze)-AA109),MIN(((R109-AA109)/P109-((Wfc-Wwp)*Ze-Z109)/Ze)/Wfc*DiffE,(R109*Ze-((Wfc-Wwp)*Ze-Z109-AA109)*P109)/(P109+Ze)-AA109))</f>
        <v>1.46631793131571e-8</v>
      </c>
      <c r="AF109" s="39">
        <f ca="1">IF(((S109-AB109)/Q109-(R109-AA109)/P109)/Wfc*DiffR&lt;0,MAX(((S109-AB109)/Q109-(R109-AA109)/P109)/Wfc*DiffR,(S109*P109-(R109-AA109-AB109)*Q109)/(P109+Q109)-AB109),MIN(((S109-AB109)/Q109-(R109-AA109)/P109)/Wfc*DiffR,(S109*P109-(R109-AA109-AB109)*Q109)/(P109+Q109)-AB109))</f>
        <v>3.2222359956854e-8</v>
      </c>
      <c r="AG109" s="99">
        <f ca="1">MIN(MAX(Y109+IF(AU109&gt;0,B109*AZ109/AU109,0)+BE109-AD109,0),TEW)</f>
        <v>3.71408738935431</v>
      </c>
      <c r="AH109" s="99">
        <f ca="1">MIN(MAX(Z109+IF(AV109&gt;0,B109*BA109/AV109,0)+BF109-AE109,0),TEW)</f>
        <v>2.55474749285599</v>
      </c>
      <c r="AI109" s="99">
        <f ca="1" t="shared" si="12"/>
        <v>6.09738058747895</v>
      </c>
      <c r="AJ109" s="99">
        <f ca="1" t="shared" si="13"/>
        <v>1.77428113059309e-7</v>
      </c>
      <c r="AK109" s="70">
        <f ca="1">IF((AU109+AV109)&gt;0,(TEW-(AG109*AU109+AH109*AV109)/(AU109+AV109))/TEW,(TEW-(AG109+AH109)/2)/TEW)</f>
        <v>0.887876607113832</v>
      </c>
      <c r="AL109" s="70">
        <f ca="1" t="shared" si="14"/>
        <v>0.892780866098219</v>
      </c>
      <c r="AM109" s="70">
        <f ca="1" t="shared" si="15"/>
        <v>0.99999999226397</v>
      </c>
      <c r="AN109" s="70">
        <f ca="1">Wwp+(Wfc-Wwp)*IF((AU109+AV109)&gt;0,(TEW-(AG109*AU109+AH109*AV109)/(AU109+AV109))/TEW,(TEW-(AG109+AH109)/2)/TEW)</f>
        <v>0.385423958924798</v>
      </c>
      <c r="AO109" s="70">
        <f ca="1">Wwp+(Wfc-Wwp)*(R109-AI109)/R109</f>
        <v>0.386061512592768</v>
      </c>
      <c r="AP109" s="70">
        <f ca="1">Wwp+(Wfc-Wwp)*(S109-AJ109)/S109</f>
        <v>0.399999998994316</v>
      </c>
      <c r="AQ109" s="70"/>
      <c r="AR109" s="70"/>
      <c r="AS109" s="70"/>
      <c r="AT109" s="70"/>
      <c r="AU109" s="70">
        <f ca="1">MIN((1-G109),fw)</f>
        <v>0.336</v>
      </c>
      <c r="AV109" s="70">
        <f ca="1" t="shared" si="16"/>
        <v>0</v>
      </c>
      <c r="AW109" s="70">
        <f ca="1">MIN((TEW-Y109)/(TEW-REW),1)</f>
        <v>0.114090212619519</v>
      </c>
      <c r="AX109" s="70">
        <f ca="1">MIN((TEW-Z109)/(TEW-REW),1)</f>
        <v>0.118270641820502</v>
      </c>
      <c r="AY109" s="70">
        <f ca="1">IF((AU109*(TEW-Y109))&gt;0,1/(1+((AV109*(TEW-Z109))/(AU109*(TEW-Y109)))),0)</f>
        <v>1</v>
      </c>
      <c r="AZ109" s="70">
        <f ca="1">MIN((AY109*AW109*(Kcmax-H109)),AU109*Kcmax)</f>
        <v>0.0458045328565349</v>
      </c>
      <c r="BA109" s="70">
        <f ca="1">MIN(((1-AY109)*AX109*(Kcmax-H109)),AV109*Kcmax)</f>
        <v>0</v>
      </c>
      <c r="BB109" s="70">
        <f ca="1" t="shared" si="17"/>
        <v>0.0264750199910772</v>
      </c>
      <c r="BC109" s="70">
        <f ca="1">MIN((R109-AA109)/(R109*(1-(p+0.04*(5-I108)))),1)</f>
        <v>1</v>
      </c>
      <c r="BD109" s="10">
        <f ca="1" t="shared" si="18"/>
        <v>0.432646615373844</v>
      </c>
      <c r="BE109" s="70">
        <f ca="1">MIN(IF((1-AA109/R109)&gt;0,(1-Y109/TEW)/(1-AA109/R109)*(Ze/P109)^0.6,0),1)*BC109*H109*B109</f>
        <v>0.203031090471462</v>
      </c>
      <c r="BF109" s="70">
        <f ca="1">MIN(IF((1-AA109/R109)&gt;0,(1-Z109/TEW)/(1-AA109/R109)*(Ze/P109)^0.6,0),1)*BC109*H109*B109</f>
        <v>0.210470441138156</v>
      </c>
      <c r="BH109" s="10">
        <f ca="1" t="shared" si="19"/>
        <v>0.0214525924485891</v>
      </c>
      <c r="BI109" s="10">
        <f ca="1">IF(F109&lt;&gt;"",(Moy_Etobs-F109)^2,"")</f>
        <v>1.68018103249836</v>
      </c>
    </row>
    <row r="110" spans="1:61">
      <c r="A110" s="38">
        <v>39103</v>
      </c>
      <c r="B110" s="10">
        <v>0.641</v>
      </c>
      <c r="C110" s="39">
        <v>0.792</v>
      </c>
      <c r="D110">
        <v>0.651</v>
      </c>
      <c r="E110" s="39">
        <v>0</v>
      </c>
      <c r="F110"/>
      <c r="G110" s="10">
        <f ca="1">MIN(MAX(IF(AND(Durpla&gt;ROW()-MATCH(NDVImax,INDEX(D:D,Lig_min,1):INDEX(D:D,Lig_max,1),0)-Lig_min+1,ROW()-MATCH(NDVImax,INDEX(D:D,Lig_min,1):INDEX(D:D,Lig_max,1),0)-Lig_min+1&gt;0,D110*a_fc+b_fc&gt;fc_fin),NDVImax*a_fc+b_fc,D110*a_fc+b_fc),0),1)</f>
        <v>0.668</v>
      </c>
      <c r="H110" s="55">
        <f>MIN(MAX(D110*a_kcb+b_kcb,0),Kcmax)</f>
        <v>0.753032734058365</v>
      </c>
      <c r="I110" s="70">
        <f ca="1" t="shared" si="11"/>
        <v>0.512223727052635</v>
      </c>
      <c r="O110" s="55"/>
      <c r="P110" s="35">
        <f ca="1">IF(ROW()-MATCH(NDVImax,INDEX(D:D,Lig_min,1):INDEX(D:D,Lig_max,1),0)-Lig_min+1&gt;0,MAX(MIN(Zr_min+MAX(INDEX(G:G,Lig_min,1):INDEX(G:G,Lig_max,1))/MAX(MAX(INDEX(G:G,Lig_min,1):INDEX(G:G,Lig_max,1)),Max_fc_pour_Zrmax)*(Zr_max-Zr_min),Zr_max),Ze+0.001),MAX(MIN(Zr_min+G110/MAX(MAX(INDEX(G:G,Lig_min,1):INDEX(G:G,Lig_max,1)),Max_fc_pour_Zrmax)*(Zr_max-Zr_min),Zr_max),Ze+0.001))</f>
        <v>439.33145455288</v>
      </c>
      <c r="Q110" s="35">
        <f ca="1">IF(Z_sol&gt;0,Z_sol-P110,0.1)</f>
        <v>174.543096511554</v>
      </c>
      <c r="R110" s="35">
        <f ca="1">(Wfc-Wwp)*P110</f>
        <v>57.1130890918744</v>
      </c>
      <c r="S110" s="35">
        <f ca="1">(Wfc-Wwp)*Q110</f>
        <v>22.690602546502</v>
      </c>
      <c r="T110" s="99">
        <f ca="1" t="shared" si="20"/>
        <v>3.71408738935431</v>
      </c>
      <c r="U110" s="99">
        <f ca="1" t="shared" si="21"/>
        <v>2.55474749285599</v>
      </c>
      <c r="V110" s="99">
        <f ca="1">IF(P110&gt;P109,IF(Q110&gt;1,MAX(AI109+(Wfc-Wwp)*(P110-P109)*AJ109/S109,0),AI109/P109*P110),MAX(AI109+(Wfc-Wwp)*(P110-P109)*AI109/R109,0))</f>
        <v>6.09738058937188</v>
      </c>
      <c r="W110" s="99">
        <f ca="1">IF(S110&gt;1,IF(P110&gt;P109,MAX(AJ109-(Wfc-Wwp)*(P110-P109)*AJ109/S109,0),MAX(AJ109-(Wfc-Wwp)*(P110-P109)*AI109/R109,0)),0)</f>
        <v>1.75535190316481e-7</v>
      </c>
      <c r="X110" s="99">
        <f ca="1">IF(AND(OR(AND(dec_vide_TAW&lt;0,V110&gt;R110*(p+0.04*(5-I109))),AND(dec_vide_TAW&gt;0,V110&gt;R110*dec_vide_TAW)),H110&gt;MAX(INDEX(H:H,Lig_min,1):INDEX(H:H,ROW(X110),1))*Kcbmax_stop_irrig*IF(ROW(X110)-lig_kcbmax&gt;0,1,0),MIN(INDEX(H:H,ROW(X110),1):INDEX(H:H,lig_kcbmax,1))&gt;Kcbmin_start_irrig),MIN(MAX(V110-E110*Irri_man-C110,0),Lame_max),0)</f>
        <v>0</v>
      </c>
      <c r="Y110" s="99">
        <f ca="1">MIN(MAX(T110-C110-IF(fw&gt;0,X110/fw*Irri_auto+E110/fw*Irri_man,0),0),TEW)</f>
        <v>2.92208738935431</v>
      </c>
      <c r="Z110" s="99">
        <f ca="1">MIN(MAX(U110-C110,0),TEW)</f>
        <v>1.76274749285599</v>
      </c>
      <c r="AA110" s="99">
        <f ca="1">MIN(MAX(V110-C110-(X110*Irri_auto+E110*Irri_man),0),R110)</f>
        <v>5.30538058937188</v>
      </c>
      <c r="AB110" s="99">
        <f ca="1">MIN(MAX(W110+MIN(V110-C110-(X110*Irri_auto+E110*Irri_man),0),0),S110)</f>
        <v>1.75535190316481e-7</v>
      </c>
      <c r="AC110" s="99">
        <f ca="1">-MIN(W110+MIN(V110-C110-(X110*Irri_auto+E110*Irri_man),0),0)</f>
        <v>0</v>
      </c>
      <c r="AD110" s="39">
        <f ca="1">IF(((R110-AA110)/P110-((Wfc-Wwp)*Ze-Y110)/Ze)/Wfc*DiffE&lt;0,MAX(((R110-AA110)/P110-((Wfc-Wwp)*Ze-Y110)/Ze)/Wfc*DiffE,(R110*Ze-((Wfc-Wwp)*Ze-Y110-AA110)*P110)/(P110+Ze)-AA110),MIN(((R110-AA110)/P110-((Wfc-Wwp)*Ze-Y110)/Ze)/Wfc*DiffE,(R110*Ze-((Wfc-Wwp)*Ze-Y110-AA110)*P110)/(P110+Ze)-AA110))</f>
        <v>2.82516684381621e-8</v>
      </c>
      <c r="AE110" s="39">
        <f ca="1">IF(((R110-AA110)/P110-((Wfc-Wwp)*Ze-Z110)/Ze)/Wfc*DiffE&lt;0,MAX(((R110-AA110)/P110-((Wfc-Wwp)*Ze-Z110)/Ze)/Wfc*DiffE,(R110*Ze-((Wfc-Wwp)*Ze-Z110-AA110)*P110)/(P110+Ze)-AA110),MIN(((R110-AA110)/P110-((Wfc-Wwp)*Ze-Z110)/Ze)/Wfc*DiffE,(R110*Ze-((Wfc-Wwp)*Ze-Z110-AA110)*P110)/(P110+Ze)-AA110))</f>
        <v>5.06487050819578e-9</v>
      </c>
      <c r="AF110" s="39">
        <f ca="1">IF(((S110-AB110)/Q110-(R110-AA110)/P110)/Wfc*DiffR&lt;0,MAX(((S110-AB110)/Q110-(R110-AA110)/P110)/Wfc*DiffR,(S110*P110-(R110-AA110-AB110)*Q110)/(P110+Q110)-AB110),MIN(((S110-AB110)/Q110-(R110-AA110)/P110)/Wfc*DiffR,(S110*P110-(R110-AA110-AB110)*Q110)/(P110+Q110)-AB110))</f>
        <v>3.01900768347142e-8</v>
      </c>
      <c r="AG110" s="99">
        <f ca="1">MIN(MAX(Y110+IF(AU110&gt;0,B110*AZ110/AU110,0)+BE110-AD110,0),TEW)</f>
        <v>3.23926447130581</v>
      </c>
      <c r="AH110" s="99">
        <f ca="1">MIN(MAX(Z110+IF(AV110&gt;0,B110*BA110/AV110,0)+BF110-AE110,0),TEW)</f>
        <v>1.99974028168517</v>
      </c>
      <c r="AI110" s="99">
        <f ca="1" t="shared" si="12"/>
        <v>5.81760428623444</v>
      </c>
      <c r="AJ110" s="99">
        <f ca="1" t="shared" si="13"/>
        <v>2.05725267151195e-7</v>
      </c>
      <c r="AK110" s="70">
        <f ca="1">IF((AU110+AV110)&gt;0,(TEW-(AG110*AU110+AH110*AV110)/(AU110+AV110))/TEW,(TEW-(AG110+AH110)/2)/TEW)</f>
        <v>0.902210883885107</v>
      </c>
      <c r="AL110" s="70">
        <f ca="1" t="shared" si="14"/>
        <v>0.898138861358453</v>
      </c>
      <c r="AM110" s="70">
        <f ca="1" t="shared" si="15"/>
        <v>0.999999990933459</v>
      </c>
      <c r="AN110" s="70">
        <f ca="1">Wwp+(Wfc-Wwp)*IF((AU110+AV110)&gt;0,(TEW-(AG110*AU110+AH110*AV110)/(AU110+AV110))/TEW,(TEW-(AG110+AH110)/2)/TEW)</f>
        <v>0.387287414905064</v>
      </c>
      <c r="AO110" s="70">
        <f ca="1">Wwp+(Wfc-Wwp)*(R110-AI110)/R110</f>
        <v>0.386758051976599</v>
      </c>
      <c r="AP110" s="70">
        <f ca="1">Wwp+(Wfc-Wwp)*(S110-AJ110)/S110</f>
        <v>0.39999999882135</v>
      </c>
      <c r="AQ110" s="70"/>
      <c r="AR110" s="70"/>
      <c r="AS110" s="70"/>
      <c r="AT110" s="70"/>
      <c r="AU110" s="70">
        <f ca="1">MIN((1-G110),fw)</f>
        <v>0.332</v>
      </c>
      <c r="AV110" s="70">
        <f ca="1" t="shared" si="16"/>
        <v>0</v>
      </c>
      <c r="AW110" s="70">
        <f ca="1">MIN((TEW-Y110)/(TEW-REW),1)</f>
        <v>0.116050486111491</v>
      </c>
      <c r="AX110" s="70">
        <f ca="1">MIN((TEW-Z110)/(TEW-REW),1)</f>
        <v>0.120505088231873</v>
      </c>
      <c r="AY110" s="70">
        <f ca="1">IF((AU110*(TEW-Y110))&gt;0,1/(1+((AV110*(TEW-Z110))/(AU110*(TEW-Y110)))),0)</f>
        <v>1</v>
      </c>
      <c r="AZ110" s="70">
        <f ca="1">MIN((AY110*AW110*(Kcmax-H110)),AU110*Kcmax)</f>
        <v>0.0460682441828764</v>
      </c>
      <c r="BA110" s="70">
        <f ca="1">MIN(((1-AY110)*AX110*(Kcmax-H110)),AV110*Kcmax)</f>
        <v>0</v>
      </c>
      <c r="BB110" s="70">
        <f ca="1" t="shared" si="17"/>
        <v>0.0295297445212237</v>
      </c>
      <c r="BC110" s="70">
        <f ca="1">MIN((R110-AA110)/(R110*(1-(p+0.04*(5-I109)))),1)</f>
        <v>1</v>
      </c>
      <c r="BD110" s="10">
        <f ca="1" t="shared" si="18"/>
        <v>0.482693982531412</v>
      </c>
      <c r="BE110" s="70">
        <f ca="1">MIN(IF((1-AA110/R110)&gt;0,(1-Y110/TEW)/(1-AA110/R110)*(Ze/P110)^0.6,0),1)*BC110*H110*B110</f>
        <v>0.228232096585029</v>
      </c>
      <c r="BF110" s="70">
        <f ca="1">MIN(IF((1-AA110/R110)&gt;0,(1-Z110/TEW)/(1-AA110/R110)*(Ze/P110)^0.6,0),1)*BC110*H110*B110</f>
        <v>0.236992793894044</v>
      </c>
      <c r="BH110" s="10" t="str">
        <f ca="1" t="shared" si="19"/>
        <v/>
      </c>
      <c r="BI110" s="10" t="str">
        <f ca="1">IF(F110&lt;&gt;"",(Moy_Etobs-F110)^2,"")</f>
        <v/>
      </c>
    </row>
    <row r="111" spans="1:61">
      <c r="A111" s="38">
        <v>39104</v>
      </c>
      <c r="B111" s="10">
        <v>0.671</v>
      </c>
      <c r="C111" s="39">
        <v>1.98</v>
      </c>
      <c r="D111">
        <v>0.654</v>
      </c>
      <c r="E111" s="39">
        <v>0</v>
      </c>
      <c r="F111"/>
      <c r="G111" s="10">
        <f ca="1">MIN(MAX(IF(AND(Durpla&gt;ROW()-MATCH(NDVImax,INDEX(D:D,Lig_min,1):INDEX(D:D,Lig_max,1),0)-Lig_min+1,ROW()-MATCH(NDVImax,INDEX(D:D,Lig_min,1):INDEX(D:D,Lig_max,1),0)-Lig_min+1&gt;0,D111*a_fc+b_fc&gt;fc_fin),NDVImax*a_fc+b_fc,D111*a_fc+b_fc),0),1)</f>
        <v>0.672</v>
      </c>
      <c r="H111" s="55">
        <f>MIN(MAX(D111*a_kcb+b_kcb,0),Kcmax)</f>
        <v>0.757541912106618</v>
      </c>
      <c r="I111" s="70">
        <f ca="1" t="shared" si="11"/>
        <v>0.540553804602276</v>
      </c>
      <c r="O111" s="55"/>
      <c r="P111" s="35">
        <f ca="1">IF(ROW()-MATCH(NDVImax,INDEX(D:D,Lig_min,1):INDEX(D:D,Lig_max,1),0)-Lig_min+1&gt;0,MAX(MIN(Zr_min+MAX(INDEX(G:G,Lig_min,1):INDEX(G:G,Lig_max,1))/MAX(MAX(INDEX(G:G,Lig_min,1):INDEX(G:G,Lig_max,1)),Max_fc_pour_Zrmax)*(Zr_max-Zr_min),Zr_max),Ze+0.001),MAX(MIN(Zr_min+G111/MAX(MAX(INDEX(G:G,Lig_min,1):INDEX(G:G,Lig_max,1)),Max_fc_pour_Zrmax)*(Zr_max-Zr_min),Zr_max),Ze+0.001))</f>
        <v>441.21367883164</v>
      </c>
      <c r="Q111" s="35">
        <f ca="1">IF(Z_sol&gt;0,Z_sol-P111,0.1)</f>
        <v>172.660872232794</v>
      </c>
      <c r="R111" s="35">
        <f ca="1">(Wfc-Wwp)*P111</f>
        <v>57.3577782481132</v>
      </c>
      <c r="S111" s="35">
        <f ca="1">(Wfc-Wwp)*Q111</f>
        <v>22.4459133902633</v>
      </c>
      <c r="T111" s="99">
        <f ca="1" t="shared" si="20"/>
        <v>3.23926447130581</v>
      </c>
      <c r="U111" s="99">
        <f ca="1" t="shared" si="21"/>
        <v>1.99974028168517</v>
      </c>
      <c r="V111" s="99">
        <f ca="1">IF(P111&gt;P110,IF(Q111&gt;1,MAX(AI110+(Wfc-Wwp)*(P111-P110)*AJ110/S110,0),AI110/P110*P111),MAX(AI110+(Wfc-Wwp)*(P111-P110)*AI110/R110,0))</f>
        <v>5.81760428845292</v>
      </c>
      <c r="W111" s="99">
        <f ca="1">IF(S111&gt;1,IF(P111&gt;P110,MAX(AJ110-(Wfc-Wwp)*(P111-P110)*AJ110/S110,0),MAX(AJ110-(Wfc-Wwp)*(P111-P110)*AI110/R110,0)),0)</f>
        <v>2.03506783004154e-7</v>
      </c>
      <c r="X111" s="99">
        <f ca="1">IF(AND(OR(AND(dec_vide_TAW&lt;0,V111&gt;R111*(p+0.04*(5-I110))),AND(dec_vide_TAW&gt;0,V111&gt;R111*dec_vide_TAW)),H111&gt;MAX(INDEX(H:H,Lig_min,1):INDEX(H:H,ROW(X111),1))*Kcbmax_stop_irrig*IF(ROW(X111)-lig_kcbmax&gt;0,1,0),MIN(INDEX(H:H,ROW(X111),1):INDEX(H:H,lig_kcbmax,1))&gt;Kcbmin_start_irrig),MIN(MAX(V111-E111*Irri_man-C111,0),Lame_max),0)</f>
        <v>0</v>
      </c>
      <c r="Y111" s="99">
        <f ca="1">MIN(MAX(T111-C111-IF(fw&gt;0,X111/fw*Irri_auto+E111/fw*Irri_man,0),0),TEW)</f>
        <v>1.25926447130581</v>
      </c>
      <c r="Z111" s="99">
        <f ca="1">MIN(MAX(U111-C111,0),TEW)</f>
        <v>0.0197402816851668</v>
      </c>
      <c r="AA111" s="99">
        <f ca="1">MIN(MAX(V111-C111-(X111*Irri_auto+E111*Irri_man),0),R111)</f>
        <v>3.83760428845292</v>
      </c>
      <c r="AB111" s="99">
        <f ca="1">MIN(MAX(W111+MIN(V111-C111-(X111*Irri_auto+E111*Irri_man),0),0),S111)</f>
        <v>2.03506783004154e-7</v>
      </c>
      <c r="AC111" s="99">
        <f ca="1">-MIN(W111+MIN(V111-C111-(X111*Irri_auto+E111*Irri_man),0),0)</f>
        <v>0</v>
      </c>
      <c r="AD111" s="39">
        <f ca="1">IF(((R111-AA111)/P111-((Wfc-Wwp)*Ze-Y111)/Ze)/Wfc*DiffE&lt;0,MAX(((R111-AA111)/P111-((Wfc-Wwp)*Ze-Y111)/Ze)/Wfc*DiffE,(R111*Ze-((Wfc-Wwp)*Ze-Y111-AA111)*P111)/(P111+Ze)-AA111),MIN(((R111-AA111)/P111-((Wfc-Wwp)*Ze-Y111)/Ze)/Wfc*DiffE,(R111*Ze-((Wfc-Wwp)*Ze-Y111-AA111)*P111)/(P111+Ze)-AA111))</f>
        <v>3.44069903504361e-9</v>
      </c>
      <c r="AE111" s="39">
        <f ca="1">IF(((R111-AA111)/P111-((Wfc-Wwp)*Ze-Z111)/Ze)/Wfc*DiffE&lt;0,MAX(((R111-AA111)/P111-((Wfc-Wwp)*Ze-Z111)/Ze)/Wfc*DiffE,(R111*Ze-((Wfc-Wwp)*Ze-Z111-AA111)*P111)/(P111+Ze)-AA111),MIN(((R111-AA111)/P111-((Wfc-Wwp)*Ze-Z111)/Ze)/Wfc*DiffE,(R111*Ze-((Wfc-Wwp)*Ze-Z111-AA111)*P111)/(P111+Ze)-AA111))</f>
        <v>-2.13497847573694e-8</v>
      </c>
      <c r="AF111" s="39">
        <f ca="1">IF(((S111-AB111)/Q111-(R111-AA111)/P111)/Wfc*DiffR&lt;0,MAX(((S111-AB111)/Q111-(R111-AA111)/P111)/Wfc*DiffR,(S111*P111-(R111-AA111-AB111)*Q111)/(P111+Q111)-AB111),MIN(((S111-AB111)/Q111-(R111-AA111)/P111)/Wfc*DiffR,(S111*P111-(R111-AA111-AB111)*Q111)/(P111+Q111)-AB111))</f>
        <v>2.1744587444447e-8</v>
      </c>
      <c r="AG111" s="99">
        <f ca="1">MIN(MAX(Y111+IF(AU111&gt;0,B111*AZ111/AU111,0)+BE111-AD111,0),TEW)</f>
        <v>1.60344994934459</v>
      </c>
      <c r="AH111" s="99">
        <f ca="1">MIN(MAX(Z111+IF(AV111&gt;0,B111*BA111/AV111,0)+BF111-AE111,0),TEW)</f>
        <v>0.275187845827295</v>
      </c>
      <c r="AI111" s="99">
        <f ca="1" t="shared" si="12"/>
        <v>4.37815807131061</v>
      </c>
      <c r="AJ111" s="99">
        <f ca="1" t="shared" si="13"/>
        <v>2.25251370448601e-7</v>
      </c>
      <c r="AK111" s="70">
        <f ca="1">IF((AU111+AV111)&gt;0,(TEW-(AG111*AU111+AH111*AV111)/(AU111+AV111))/TEW,(TEW-(AG111+AH111)/2)/TEW)</f>
        <v>0.951593963793371</v>
      </c>
      <c r="AL111" s="70">
        <f ca="1" t="shared" si="14"/>
        <v>0.923669322539448</v>
      </c>
      <c r="AM111" s="70">
        <f ca="1" t="shared" si="15"/>
        <v>0.999999989964705</v>
      </c>
      <c r="AN111" s="70">
        <f ca="1">Wwp+(Wfc-Wwp)*IF((AU111+AV111)&gt;0,(TEW-(AG111*AU111+AH111*AV111)/(AU111+AV111))/TEW,(TEW-(AG111+AH111)/2)/TEW)</f>
        <v>0.393707215293138</v>
      </c>
      <c r="AO111" s="70">
        <f ca="1">Wwp+(Wfc-Wwp)*(R111-AI111)/R111</f>
        <v>0.390077011930128</v>
      </c>
      <c r="AP111" s="70">
        <f ca="1">Wwp+(Wfc-Wwp)*(S111-AJ111)/S111</f>
        <v>0.399999998695412</v>
      </c>
      <c r="AQ111" s="70"/>
      <c r="AR111" s="70"/>
      <c r="AS111" s="70"/>
      <c r="AT111" s="70"/>
      <c r="AU111" s="70">
        <f ca="1">MIN((1-G111),fw)</f>
        <v>0.328</v>
      </c>
      <c r="AV111" s="70">
        <f ca="1" t="shared" si="16"/>
        <v>0</v>
      </c>
      <c r="AW111" s="70">
        <f ca="1">MIN((TEW-Y111)/(TEW-REW),1)</f>
        <v>0.122439651634847</v>
      </c>
      <c r="AX111" s="70">
        <f ca="1">MIN((TEW-Z111)/(TEW-REW),1)</f>
        <v>0.127202350736314</v>
      </c>
      <c r="AY111" s="70">
        <f ca="1">IF((AU111*(TEW-Y111))&gt;0,1/(1+((AV111*(TEW-Z111))/(AU111*(TEW-Y111)))),0)</f>
        <v>1</v>
      </c>
      <c r="AZ111" s="70">
        <f ca="1">MIN((AY111*AW111*(Kcmax-H111)),AU111*Kcmax)</f>
        <v>0.0480524315629437</v>
      </c>
      <c r="BA111" s="70">
        <f ca="1">MIN(((1-AY111)*AX111*(Kcmax-H111)),AV111*Kcmax)</f>
        <v>0</v>
      </c>
      <c r="BB111" s="70">
        <f ca="1" t="shared" si="17"/>
        <v>0.0322431815787352</v>
      </c>
      <c r="BC111" s="70">
        <f ca="1">MIN((R111-AA111)/(R111*(1-(p+0.04*(5-I110)))),1)</f>
        <v>1</v>
      </c>
      <c r="BD111" s="10">
        <f ca="1" t="shared" si="18"/>
        <v>0.508310623023541</v>
      </c>
      <c r="BE111" s="70">
        <f ca="1">MIN(IF((1-AA111/R111)&gt;0,(1-Y111/TEW)/(1-AA111/R111)*(Ze/P111)^0.6,0),1)*BC111*H111*B111</f>
        <v>0.245883098617477</v>
      </c>
      <c r="BF111" s="70">
        <f ca="1">MIN(IF((1-AA111/R111)&gt;0,(1-Z111/TEW)/(1-AA111/R111)*(Ze/P111)^0.6,0),1)*BC111*H111*B111</f>
        <v>0.255447542792343</v>
      </c>
      <c r="BH111" s="10" t="str">
        <f ca="1" t="shared" si="19"/>
        <v/>
      </c>
      <c r="BI111" s="10" t="str">
        <f ca="1">IF(F111&lt;&gt;"",(Moy_Etobs-F111)^2,"")</f>
        <v/>
      </c>
    </row>
    <row r="112" spans="1:61">
      <c r="A112" s="38">
        <v>39105</v>
      </c>
      <c r="B112" s="10">
        <v>0.479</v>
      </c>
      <c r="C112" s="39">
        <v>6.336</v>
      </c>
      <c r="D112">
        <v>0.658</v>
      </c>
      <c r="E112" s="39">
        <v>0</v>
      </c>
      <c r="F112"/>
      <c r="G112" s="10">
        <f ca="1">MIN(MAX(IF(AND(Durpla&gt;ROW()-MATCH(NDVImax,INDEX(D:D,Lig_min,1):INDEX(D:D,Lig_max,1),0)-Lig_min+1,ROW()-MATCH(NDVImax,INDEX(D:D,Lig_min,1):INDEX(D:D,Lig_max,1),0)-Lig_min+1&gt;0,D112*a_fc+b_fc&gt;fc_fin),NDVImax*a_fc+b_fc,D112*a_fc+b_fc),0),1)</f>
        <v>0.677333333333333</v>
      </c>
      <c r="H112" s="55">
        <f>MIN(MAX(D112*a_kcb+b_kcb,0),Kcmax)</f>
        <v>0.76355414950429</v>
      </c>
      <c r="I112" s="70">
        <f ca="1" t="shared" si="11"/>
        <v>0.389302594963311</v>
      </c>
      <c r="O112" s="55"/>
      <c r="P112" s="35">
        <f ca="1">IF(ROW()-MATCH(NDVImax,INDEX(D:D,Lig_min,1):INDEX(D:D,Lig_max,1),0)-Lig_min+1&gt;0,MAX(MIN(Zr_min+MAX(INDEX(G:G,Lig_min,1):INDEX(G:G,Lig_max,1))/MAX(MAX(INDEX(G:G,Lig_min,1):INDEX(G:G,Lig_max,1)),Max_fc_pour_Zrmax)*(Zr_max-Zr_min),Zr_max),Ze+0.001),MAX(MIN(Zr_min+G112/MAX(MAX(INDEX(G:G,Lig_min,1):INDEX(G:G,Lig_max,1)),Max_fc_pour_Zrmax)*(Zr_max-Zr_min),Zr_max),Ze+0.001))</f>
        <v>443.723311203319</v>
      </c>
      <c r="Q112" s="35">
        <f ca="1">IF(Z_sol&gt;0,Z_sol-P112,0.1)</f>
        <v>170.151239861115</v>
      </c>
      <c r="R112" s="35">
        <f ca="1">(Wfc-Wwp)*P112</f>
        <v>57.6840304564315</v>
      </c>
      <c r="S112" s="35">
        <f ca="1">(Wfc-Wwp)*Q112</f>
        <v>22.1196611819449</v>
      </c>
      <c r="T112" s="99">
        <f ca="1" t="shared" si="20"/>
        <v>1.60344994934459</v>
      </c>
      <c r="U112" s="99">
        <f ca="1" t="shared" si="21"/>
        <v>0.275187845827295</v>
      </c>
      <c r="V112" s="99">
        <f ca="1">IF(P112&gt;P111,IF(Q112&gt;1,MAX(AI111+(Wfc-Wwp)*(P112-P111)*AJ111/S111,0),AI111/P111*P112),MAX(AI111+(Wfc-Wwp)*(P112-P111)*AI111/R111,0))</f>
        <v>4.37815807458465</v>
      </c>
      <c r="W112" s="99">
        <f ca="1">IF(S112&gt;1,IF(P112&gt;P111,MAX(AJ111-(Wfc-Wwp)*(P112-P111)*AJ111/S111,0),MAX(AJ111-(Wfc-Wwp)*(P112-P111)*AI111/R111,0)),0)</f>
        <v>2.21977333176967e-7</v>
      </c>
      <c r="X112" s="99">
        <f ca="1">IF(AND(OR(AND(dec_vide_TAW&lt;0,V112&gt;R112*(p+0.04*(5-I111))),AND(dec_vide_TAW&gt;0,V112&gt;R112*dec_vide_TAW)),H112&gt;MAX(INDEX(H:H,Lig_min,1):INDEX(H:H,ROW(X112),1))*Kcbmax_stop_irrig*IF(ROW(X112)-lig_kcbmax&gt;0,1,0),MIN(INDEX(H:H,ROW(X112),1):INDEX(H:H,lig_kcbmax,1))&gt;Kcbmin_start_irrig),MIN(MAX(V112-E112*Irri_man-C112,0),Lame_max),0)</f>
        <v>0</v>
      </c>
      <c r="Y112" s="99">
        <f ca="1">MIN(MAX(T112-C112-IF(fw&gt;0,X112/fw*Irri_auto+E112/fw*Irri_man,0),0),TEW)</f>
        <v>0</v>
      </c>
      <c r="Z112" s="99">
        <f ca="1">MIN(MAX(U112-C112,0),TEW)</f>
        <v>0</v>
      </c>
      <c r="AA112" s="99">
        <f ca="1">MIN(MAX(V112-C112-(X112*Irri_auto+E112*Irri_man),0),R112)</f>
        <v>0</v>
      </c>
      <c r="AB112" s="99">
        <f ca="1">MIN(MAX(W112+MIN(V112-C112-(X112*Irri_auto+E112*Irri_man),0),0),S112)</f>
        <v>0</v>
      </c>
      <c r="AC112" s="99">
        <f ca="1">-MIN(W112+MIN(V112-C112-(X112*Irri_auto+E112*Irri_man),0),0)</f>
        <v>1.95784170343802</v>
      </c>
      <c r="AD112" s="39">
        <f ca="1">IF(((R112-AA112)/P112-((Wfc-Wwp)*Ze-Y112)/Ze)/Wfc*DiffE&lt;0,MAX(((R112-AA112)/P112-((Wfc-Wwp)*Ze-Y112)/Ze)/Wfc*DiffE,(R112*Ze-((Wfc-Wwp)*Ze-Y112-AA112)*P112)/(P112+Ze)-AA112),MIN(((R112-AA112)/P112-((Wfc-Wwp)*Ze-Y112)/Ze)/Wfc*DiffE,(R112*Ze-((Wfc-Wwp)*Ze-Y112-AA112)*P112)/(P112+Ze)-AA112))</f>
        <v>0</v>
      </c>
      <c r="AE112" s="39">
        <f ca="1">IF(((R112-AA112)/P112-((Wfc-Wwp)*Ze-Z112)/Ze)/Wfc*DiffE&lt;0,MAX(((R112-AA112)/P112-((Wfc-Wwp)*Ze-Z112)/Ze)/Wfc*DiffE,(R112*Ze-((Wfc-Wwp)*Ze-Z112-AA112)*P112)/(P112+Ze)-AA112),MIN(((R112-AA112)/P112-((Wfc-Wwp)*Ze-Z112)/Ze)/Wfc*DiffE,(R112*Ze-((Wfc-Wwp)*Ze-Z112-AA112)*P112)/(P112+Ze)-AA112))</f>
        <v>0</v>
      </c>
      <c r="AF112" s="39">
        <f ca="1">IF(((S112-AB112)/Q112-(R112-AA112)/P112)/Wfc*DiffR&lt;0,MAX(((S112-AB112)/Q112-(R112-AA112)/P112)/Wfc*DiffR,(S112*P112-(R112-AA112-AB112)*Q112)/(P112+Q112)-AB112),MIN(((S112-AB112)/Q112-(R112-AA112)/P112)/Wfc*DiffR,(S112*P112-(R112-AA112-AB112)*Q112)/(P112+Q112)-AB112))</f>
        <v>0</v>
      </c>
      <c r="AG112" s="99">
        <f ca="1">MIN(MAX(Y112+IF(AU112&gt;0,B112*AZ112/AU112,0)+BE112-AD112,0),TEW)</f>
        <v>0.244039817884016</v>
      </c>
      <c r="AH112" s="99">
        <f ca="1">MIN(MAX(Z112+IF(AV112&gt;0,B112*BA112/AV112,0)+BF112-AE112,0),TEW)</f>
        <v>0.171022801301093</v>
      </c>
      <c r="AI112" s="99">
        <f ca="1" t="shared" si="12"/>
        <v>0.389302594963311</v>
      </c>
      <c r="AJ112" s="99">
        <f ca="1" t="shared" si="13"/>
        <v>0</v>
      </c>
      <c r="AK112" s="70">
        <f ca="1">IF((AU112+AV112)&gt;0,(TEW-(AG112*AU112+AH112*AV112)/(AU112+AV112))/TEW,(TEW-(AG112+AH112)/2)/TEW)</f>
        <v>0.992632760214822</v>
      </c>
      <c r="AL112" s="70">
        <f ca="1" t="shared" si="14"/>
        <v>0.993251120078072</v>
      </c>
      <c r="AM112" s="70">
        <f ca="1" t="shared" si="15"/>
        <v>1</v>
      </c>
      <c r="AN112" s="70">
        <f ca="1">Wwp+(Wfc-Wwp)*IF((AU112+AV112)&gt;0,(TEW-(AG112*AU112+AH112*AV112)/(AU112+AV112))/TEW,(TEW-(AG112+AH112)/2)/TEW)</f>
        <v>0.399042258827927</v>
      </c>
      <c r="AO112" s="70">
        <f ca="1">Wwp+(Wfc-Wwp)*(R112-AI112)/R112</f>
        <v>0.399122645610149</v>
      </c>
      <c r="AP112" s="70">
        <f ca="1">Wwp+(Wfc-Wwp)*(S112-AJ112)/S112</f>
        <v>0.4</v>
      </c>
      <c r="AQ112" s="70"/>
      <c r="AR112" s="70"/>
      <c r="AS112" s="70"/>
      <c r="AT112" s="70"/>
      <c r="AU112" s="70">
        <f ca="1">MIN((1-G112),fw)</f>
        <v>0.322666666666667</v>
      </c>
      <c r="AV112" s="70">
        <f ca="1" t="shared" si="16"/>
        <v>0</v>
      </c>
      <c r="AW112" s="70">
        <f ca="1">MIN((TEW-Y112)/(TEW-REW),1)</f>
        <v>0.12727820001996</v>
      </c>
      <c r="AX112" s="70">
        <f ca="1">MIN((TEW-Z112)/(TEW-REW),1)</f>
        <v>0.12727820001996</v>
      </c>
      <c r="AY112" s="70">
        <f ca="1">IF((AU112*(TEW-Y112))&gt;0,1/(1+((AV112*(TEW-Z112))/(AU112*(TEW-Y112)))),0)</f>
        <v>1</v>
      </c>
      <c r="AZ112" s="70">
        <f ca="1">MIN((AY112*AW112*(Kcmax-H112)),AU112*Kcmax)</f>
        <v>0.0491861322562767</v>
      </c>
      <c r="BA112" s="70">
        <f ca="1">MIN(((1-AY112)*AX112*(Kcmax-H112)),AV112*Kcmax)</f>
        <v>0</v>
      </c>
      <c r="BB112" s="70">
        <f ca="1" t="shared" si="17"/>
        <v>0.0235601573507565</v>
      </c>
      <c r="BC112" s="70">
        <f ca="1">MIN((R112-AA112)/(R112*(1-(p+0.04*(5-I111)))),1)</f>
        <v>1</v>
      </c>
      <c r="BD112" s="10">
        <f ca="1" t="shared" si="18"/>
        <v>0.365742437612555</v>
      </c>
      <c r="BE112" s="70">
        <f ca="1">MIN(IF((1-AA112/R112)&gt;0,(1-Y112/TEW)/(1-AA112/R112)*(Ze/P112)^0.6,0),1)*BC112*H112*B112</f>
        <v>0.171022801301093</v>
      </c>
      <c r="BF112" s="70">
        <f ca="1">MIN(IF((1-AA112/R112)&gt;0,(1-Z112/TEW)/(1-AA112/R112)*(Ze/P112)^0.6,0),1)*BC112*H112*B112</f>
        <v>0.171022801301093</v>
      </c>
      <c r="BH112" s="10" t="str">
        <f ca="1" t="shared" si="19"/>
        <v/>
      </c>
      <c r="BI112" s="10" t="str">
        <f ca="1">IF(F112&lt;&gt;"",(Moy_Etobs-F112)^2,"")</f>
        <v/>
      </c>
    </row>
    <row r="113" spans="1:61">
      <c r="A113" s="38">
        <v>39106</v>
      </c>
      <c r="B113" s="10">
        <v>0.639</v>
      </c>
      <c r="C113" s="39">
        <v>0.198</v>
      </c>
      <c r="D113">
        <v>0.661</v>
      </c>
      <c r="E113" s="39">
        <v>0</v>
      </c>
      <c r="F113" s="10">
        <v>0.6837876</v>
      </c>
      <c r="G113" s="10">
        <f ca="1">MIN(MAX(IF(AND(Durpla&gt;ROW()-MATCH(NDVImax,INDEX(D:D,Lig_min,1):INDEX(D:D,Lig_max,1),0)-Lig_min+1,ROW()-MATCH(NDVImax,INDEX(D:D,Lig_min,1):INDEX(D:D,Lig_max,1),0)-Lig_min+1&gt;0,D113*a_fc+b_fc&gt;fc_fin),NDVImax*a_fc+b_fc,D113*a_fc+b_fc),0),1)</f>
        <v>0.681333333333333</v>
      </c>
      <c r="H113" s="55">
        <f>MIN(MAX(D113*a_kcb+b_kcb,0),Kcmax)</f>
        <v>0.768063327552543</v>
      </c>
      <c r="I113" s="70">
        <f ca="1" t="shared" si="11"/>
        <v>0.521812495730329</v>
      </c>
      <c r="O113" s="55"/>
      <c r="P113" s="35">
        <f ca="1">IF(ROW()-MATCH(NDVImax,INDEX(D:D,Lig_min,1):INDEX(D:D,Lig_max,1),0)-Lig_min+1&gt;0,MAX(MIN(Zr_min+MAX(INDEX(G:G,Lig_min,1):INDEX(G:G,Lig_max,1))/MAX(MAX(INDEX(G:G,Lig_min,1):INDEX(G:G,Lig_max,1)),Max_fc_pour_Zrmax)*(Zr_max-Zr_min),Zr_max),Ze+0.001),MAX(MIN(Zr_min+G113/MAX(MAX(INDEX(G:G,Lig_min,1):INDEX(G:G,Lig_max,1)),Max_fc_pour_Zrmax)*(Zr_max-Zr_min),Zr_max),Ze+0.001))</f>
        <v>445.605535482079</v>
      </c>
      <c r="Q113" s="35">
        <f ca="1">IF(Z_sol&gt;0,Z_sol-P113,0.1)</f>
        <v>168.269015582355</v>
      </c>
      <c r="R113" s="35">
        <f ca="1">(Wfc-Wwp)*P113</f>
        <v>57.9287196126703</v>
      </c>
      <c r="S113" s="35">
        <f ca="1">(Wfc-Wwp)*Q113</f>
        <v>21.8749720257061</v>
      </c>
      <c r="T113" s="99">
        <f ca="1" t="shared" si="20"/>
        <v>0.244039817884016</v>
      </c>
      <c r="U113" s="99">
        <f ca="1" t="shared" si="21"/>
        <v>0.171022801301093</v>
      </c>
      <c r="V113" s="99">
        <f ca="1">IF(P113&gt;P112,IF(Q113&gt;1,MAX(AI112+(Wfc-Wwp)*(P113-P112)*AJ112/S112,0),AI112/P112*P113),MAX(AI112+(Wfc-Wwp)*(P113-P112)*AI112/R112,0))</f>
        <v>0.389302594963311</v>
      </c>
      <c r="W113" s="99">
        <f ca="1">IF(S113&gt;1,IF(P113&gt;P112,MAX(AJ112-(Wfc-Wwp)*(P113-P112)*AJ112/S112,0),MAX(AJ112-(Wfc-Wwp)*(P113-P112)*AI112/R112,0)),0)</f>
        <v>0</v>
      </c>
      <c r="X113" s="99">
        <f ca="1">IF(AND(OR(AND(dec_vide_TAW&lt;0,V113&gt;R113*(p+0.04*(5-I112))),AND(dec_vide_TAW&gt;0,V113&gt;R113*dec_vide_TAW)),H113&gt;MAX(INDEX(H:H,Lig_min,1):INDEX(H:H,ROW(X113),1))*Kcbmax_stop_irrig*IF(ROW(X113)-lig_kcbmax&gt;0,1,0),MIN(INDEX(H:H,ROW(X113),1):INDEX(H:H,lig_kcbmax,1))&gt;Kcbmin_start_irrig),MIN(MAX(V113-E113*Irri_man-C113,0),Lame_max),0)</f>
        <v>0</v>
      </c>
      <c r="Y113" s="99">
        <f ca="1">MIN(MAX(T113-C113-IF(fw&gt;0,X113/fw*Irri_auto+E113/fw*Irri_man,0),0),TEW)</f>
        <v>0.0460398178840165</v>
      </c>
      <c r="Z113" s="99">
        <f ca="1">MIN(MAX(U113-C113,0),TEW)</f>
        <v>0</v>
      </c>
      <c r="AA113" s="99">
        <f ca="1">MIN(MAX(V113-C113-(X113*Irri_auto+E113*Irri_man),0),R113)</f>
        <v>0.191302594963311</v>
      </c>
      <c r="AB113" s="99">
        <f ca="1">MIN(MAX(W113+MIN(V113-C113-(X113*Irri_auto+E113*Irri_man),0),0),S113)</f>
        <v>0</v>
      </c>
      <c r="AC113" s="99">
        <f ca="1">-MIN(W113+MIN(V113-C113-(X113*Irri_auto+E113*Irri_man),0),0)</f>
        <v>0</v>
      </c>
      <c r="AD113" s="39">
        <f ca="1">IF(((R113-AA113)/P113-((Wfc-Wwp)*Ze-Y113)/Ze)/Wfc*DiffE&lt;0,MAX(((R113-AA113)/P113-((Wfc-Wwp)*Ze-Y113)/Ze)/Wfc*DiffE,(R113*Ze-((Wfc-Wwp)*Ze-Y113-AA113)*P113)/(P113+Ze)-AA113),MIN(((R113-AA113)/P113-((Wfc-Wwp)*Ze-Y113)/Ze)/Wfc*DiffE,(R113*Ze-((Wfc-Wwp)*Ze-Y113-AA113)*P113)/(P113+Ze)-AA113))</f>
        <v>-1.52476861178807e-10</v>
      </c>
      <c r="AE113" s="39">
        <f ca="1">IF(((R113-AA113)/P113-((Wfc-Wwp)*Ze-Z113)/Ze)/Wfc*DiffE&lt;0,MAX(((R113-AA113)/P113-((Wfc-Wwp)*Ze-Z113)/Ze)/Wfc*DiffE,(R113*Ze-((Wfc-Wwp)*Ze-Z113-AA113)*P113)/(P113+Ze)-AA113),MIN(((R113-AA113)/P113-((Wfc-Wwp)*Ze-Z113)/Ze)/Wfc*DiffE,(R113*Ze-((Wfc-Wwp)*Ze-Z113-AA113)*P113)/(P113+Ze)-AA113))</f>
        <v>-1.07327321885911e-9</v>
      </c>
      <c r="AF113" s="39">
        <f ca="1">IF(((S113-AB113)/Q113-(R113-AA113)/P113)/Wfc*DiffR&lt;0,MAX(((S113-AB113)/Q113-(R113-AA113)/P113)/Wfc*DiffR,(S113*P113-(R113-AA113-AB113)*Q113)/(P113+Q113)-AB113),MIN(((S113-AB113)/Q113-(R113-AA113)/P113)/Wfc*DiffR,(S113*P113-(R113-AA113-AB113)*Q113)/(P113+Q113)-AB113))</f>
        <v>1.07327321885911e-9</v>
      </c>
      <c r="AG113" s="99">
        <f ca="1">MIN(MAX(Y113+IF(AU113&gt;0,B113*AZ113/AU113,0)+BE113-AD113,0),TEW)</f>
        <v>0.372736885758947</v>
      </c>
      <c r="AH113" s="99">
        <f ca="1">MIN(MAX(Z113+IF(AV113&gt;0,B113*BA113/AV113,0)+BF113-AE113,0),TEW)</f>
        <v>0.229673098567978</v>
      </c>
      <c r="AI113" s="99">
        <f ca="1" t="shared" si="12"/>
        <v>0.713115089620367</v>
      </c>
      <c r="AJ113" s="99">
        <f ca="1" t="shared" si="13"/>
        <v>1.07327321885911e-9</v>
      </c>
      <c r="AK113" s="70">
        <f ca="1">IF((AU113+AV113)&gt;0,(TEW-(AG113*AU113+AH113*AV113)/(AU113+AV113))/TEW,(TEW-(AG113+AH113)/2)/TEW)</f>
        <v>0.988747565712937</v>
      </c>
      <c r="AL113" s="70">
        <f ca="1" t="shared" si="14"/>
        <v>0.987689783333924</v>
      </c>
      <c r="AM113" s="70">
        <f ca="1" t="shared" si="15"/>
        <v>0.999999999950936</v>
      </c>
      <c r="AN113" s="70">
        <f ca="1">Wwp+(Wfc-Wwp)*IF((AU113+AV113)&gt;0,(TEW-(AG113*AU113+AH113*AV113)/(AU113+AV113))/TEW,(TEW-(AG113+AH113)/2)/TEW)</f>
        <v>0.398537183542682</v>
      </c>
      <c r="AO113" s="70">
        <f ca="1">Wwp+(Wfc-Wwp)*(R113-AI113)/R113</f>
        <v>0.39839967183341</v>
      </c>
      <c r="AP113" s="70">
        <f ca="1">Wwp+(Wfc-Wwp)*(S113-AJ113)/S113</f>
        <v>0.399999999993622</v>
      </c>
      <c r="AQ113" s="70"/>
      <c r="AR113" s="70"/>
      <c r="AS113" s="70"/>
      <c r="AT113" s="70"/>
      <c r="AU113" s="70">
        <f ca="1">MIN((1-G113),fw)</f>
        <v>0.318666666666667</v>
      </c>
      <c r="AV113" s="70">
        <f ca="1" t="shared" si="16"/>
        <v>0</v>
      </c>
      <c r="AW113" s="70">
        <f ca="1">MIN((TEW-Y113)/(TEW-REW),1)</f>
        <v>0.127101298430541</v>
      </c>
      <c r="AX113" s="70">
        <f ca="1">MIN((TEW-Z113)/(TEW-REW),1)</f>
        <v>0.12727820001996</v>
      </c>
      <c r="AY113" s="70">
        <f ca="1">IF((AU113*(TEW-Y113))&gt;0,1/(1+((AV113*(TEW-Z113))/(AU113*(TEW-Y113)))),0)</f>
        <v>1</v>
      </c>
      <c r="AZ113" s="70">
        <f ca="1">MIN((AY113*AW113*(Kcmax-H113)),AU113*Kcmax)</f>
        <v>0.0485446469863118</v>
      </c>
      <c r="BA113" s="70">
        <f ca="1">MIN(((1-AY113)*AX113*(Kcmax-H113)),AV113*Kcmax)</f>
        <v>0</v>
      </c>
      <c r="BB113" s="70">
        <f ca="1" t="shared" si="17"/>
        <v>0.0310200294242533</v>
      </c>
      <c r="BC113" s="70">
        <f ca="1">MIN((R113-AA113)/(R113*(1-(p+0.04*(5-I112)))),1)</f>
        <v>1</v>
      </c>
      <c r="BD113" s="10">
        <f ca="1" t="shared" si="18"/>
        <v>0.490792466306075</v>
      </c>
      <c r="BE113" s="70">
        <f ca="1">MIN(IF((1-AA113/R113)&gt;0,(1-Y113/TEW)/(1-AA113/R113)*(Ze/P113)^0.6,0),1)*BC113*H113*B113</f>
        <v>0.229353879152622</v>
      </c>
      <c r="BF113" s="70">
        <f ca="1">MIN(IF((1-AA113/R113)&gt;0,(1-Z113/TEW)/(1-AA113/R113)*(Ze/P113)^0.6,0),1)*BC113*H113*B113</f>
        <v>0.229673097494705</v>
      </c>
      <c r="BH113" s="10">
        <f ca="1" t="shared" si="19"/>
        <v>0.0262359344031709</v>
      </c>
      <c r="BI113" s="10">
        <f ca="1">IF(F113&lt;&gt;"",(Moy_Etobs-F113)^2,"")</f>
        <v>0.855782206535411</v>
      </c>
    </row>
    <row r="114" spans="1:61">
      <c r="A114" s="38">
        <v>39107</v>
      </c>
      <c r="B114" s="10">
        <v>0.776</v>
      </c>
      <c r="C114" s="39">
        <v>0</v>
      </c>
      <c r="D114">
        <v>0.664</v>
      </c>
      <c r="E114" s="39">
        <v>0</v>
      </c>
      <c r="F114" s="10">
        <v>0.65727</v>
      </c>
      <c r="G114" s="10">
        <f ca="1">MIN(MAX(IF(AND(Durpla&gt;ROW()-MATCH(NDVImax,INDEX(D:D,Lig_min,1):INDEX(D:D,Lig_max,1),0)-Lig_min+1,ROW()-MATCH(NDVImax,INDEX(D:D,Lig_min,1):INDEX(D:D,Lig_max,1),0)-Lig_min+1&gt;0,D114*a_fc+b_fc&gt;fc_fin),NDVImax*a_fc+b_fc,D114*a_fc+b_fc),0),1)</f>
        <v>0.685333333333333</v>
      </c>
      <c r="H114" s="55">
        <f>MIN(MAX(D114*a_kcb+b_kcb,0),Kcmax)</f>
        <v>0.772572505600797</v>
      </c>
      <c r="I114" s="70">
        <f ca="1" t="shared" si="11"/>
        <v>0.636374514000442</v>
      </c>
      <c r="O114" s="55"/>
      <c r="P114" s="35">
        <f ca="1">IF(ROW()-MATCH(NDVImax,INDEX(D:D,Lig_min,1):INDEX(D:D,Lig_max,1),0)-Lig_min+1&gt;0,MAX(MIN(Zr_min+MAX(INDEX(G:G,Lig_min,1):INDEX(G:G,Lig_max,1))/MAX(MAX(INDEX(G:G,Lig_min,1):INDEX(G:G,Lig_max,1)),Max_fc_pour_Zrmax)*(Zr_max-Zr_min),Zr_max),Ze+0.001),MAX(MIN(Zr_min+G114/MAX(MAX(INDEX(G:G,Lig_min,1):INDEX(G:G,Lig_max,1)),Max_fc_pour_Zrmax)*(Zr_max-Zr_min),Zr_max),Ze+0.001))</f>
        <v>447.487759760839</v>
      </c>
      <c r="Q114" s="35">
        <f ca="1">IF(Z_sol&gt;0,Z_sol-P114,0.1)</f>
        <v>166.386791303595</v>
      </c>
      <c r="R114" s="35">
        <f ca="1">(Wfc-Wwp)*P114</f>
        <v>58.1734087689091</v>
      </c>
      <c r="S114" s="35">
        <f ca="1">(Wfc-Wwp)*Q114</f>
        <v>21.6302828694674</v>
      </c>
      <c r="T114" s="99">
        <f ca="1" t="shared" si="20"/>
        <v>0.372736885758947</v>
      </c>
      <c r="U114" s="99">
        <f ca="1" t="shared" si="21"/>
        <v>0.229673098567978</v>
      </c>
      <c r="V114" s="99">
        <f ca="1">IF(P114&gt;P113,IF(Q114&gt;1,MAX(AI113+(Wfc-Wwp)*(P114-P113)*AJ113/S113,0),AI113/P113*P114),MAX(AI113+(Wfc-Wwp)*(P114-P113)*AI113/R113,0))</f>
        <v>0.713115089632372</v>
      </c>
      <c r="W114" s="99">
        <f ca="1">IF(S114&gt;1,IF(P114&gt;P113,MAX(AJ113-(Wfc-Wwp)*(P114-P113)*AJ113/S113,0),MAX(AJ113-(Wfc-Wwp)*(P114-P113)*AI113/R113,0)),0)</f>
        <v>1.06126779466805e-9</v>
      </c>
      <c r="X114" s="99">
        <f ca="1">IF(AND(OR(AND(dec_vide_TAW&lt;0,V114&gt;R114*(p+0.04*(5-I113))),AND(dec_vide_TAW&gt;0,V114&gt;R114*dec_vide_TAW)),H114&gt;MAX(INDEX(H:H,Lig_min,1):INDEX(H:H,ROW(X114),1))*Kcbmax_stop_irrig*IF(ROW(X114)-lig_kcbmax&gt;0,1,0),MIN(INDEX(H:H,ROW(X114),1):INDEX(H:H,lig_kcbmax,1))&gt;Kcbmin_start_irrig),MIN(MAX(V114-E114*Irri_man-C114,0),Lame_max),0)</f>
        <v>0</v>
      </c>
      <c r="Y114" s="99">
        <f ca="1">MIN(MAX(T114-C114-IF(fw&gt;0,X114/fw*Irri_auto+E114/fw*Irri_man,0),0),TEW)</f>
        <v>0.372736885758947</v>
      </c>
      <c r="Z114" s="99">
        <f ca="1">MIN(MAX(U114-C114,0),TEW)</f>
        <v>0.229673098567978</v>
      </c>
      <c r="AA114" s="99">
        <f ca="1">MIN(MAX(V114-C114-(X114*Irri_auto+E114*Irri_man),0),R114)</f>
        <v>0.713115089632372</v>
      </c>
      <c r="AB114" s="99">
        <f ca="1">MIN(MAX(W114+MIN(V114-C114-(X114*Irri_auto+E114*Irri_man),0),0),S114)</f>
        <v>1.06126779466805e-9</v>
      </c>
      <c r="AC114" s="99">
        <f ca="1">-MIN(W114+MIN(V114-C114-(X114*Irri_auto+E114*Irri_man),0),0)</f>
        <v>0</v>
      </c>
      <c r="AD114" s="39">
        <f ca="1">IF(((R114-AA114)/P114-((Wfc-Wwp)*Ze-Y114)/Ze)/Wfc*DiffE&lt;0,MAX(((R114-AA114)/P114-((Wfc-Wwp)*Ze-Y114)/Ze)/Wfc*DiffE,(R114*Ze-((Wfc-Wwp)*Ze-Y114-AA114)*P114)/(P114+Ze)-AA114),MIN(((R114-AA114)/P114-((Wfc-Wwp)*Ze-Y114)/Ze)/Wfc*DiffE,(R114*Ze-((Wfc-Wwp)*Ze-Y114-AA114)*P114)/(P114+Ze)-AA114))</f>
        <v>3.47074556077062e-9</v>
      </c>
      <c r="AE114" s="39">
        <f ca="1">IF(((R114-AA114)/P114-((Wfc-Wwp)*Ze-Z114)/Ze)/Wfc*DiffE&lt;0,MAX(((R114-AA114)/P114-((Wfc-Wwp)*Ze-Z114)/Ze)/Wfc*DiffE,(R114*Ze-((Wfc-Wwp)*Ze-Z114-AA114)*P114)/(P114+Ze)-AA114),MIN(((R114-AA114)/P114-((Wfc-Wwp)*Ze-Z114)/Ze)/Wfc*DiffE,(R114*Ze-((Wfc-Wwp)*Ze-Z114-AA114)*P114)/(P114+Ze)-AA114))</f>
        <v>6.09469816951272e-10</v>
      </c>
      <c r="AF114" s="39">
        <f ca="1">IF(((S114-AB114)/Q114-(R114-AA114)/P114)/Wfc*DiffR&lt;0,MAX(((S114-AB114)/Q114-(R114-AA114)/P114)/Wfc*DiffR,(S114*P114-(R114-AA114-AB114)*Q114)/(P114+Q114)-AB114),MIN(((S114-AB114)/Q114-(R114-AA114)/P114)/Wfc*DiffR,(S114*P114-(R114-AA114-AB114)*Q114)/(P114+Q114)-AB114))</f>
        <v>3.98399213846254e-9</v>
      </c>
      <c r="AG114" s="99">
        <f ca="1">MIN(MAX(Y114+IF(AU114&gt;0,B114*AZ114/AU114,0)+BE114-AD114,0),TEW)</f>
        <v>0.769074342763093</v>
      </c>
      <c r="AH114" s="99">
        <f ca="1">MIN(MAX(Z114+IF(AV114&gt;0,B114*BA114/AV114,0)+BF114-AE114,0),TEW)</f>
        <v>0.510095866222528</v>
      </c>
      <c r="AI114" s="99">
        <f ca="1" t="shared" si="12"/>
        <v>1.34948959964882</v>
      </c>
      <c r="AJ114" s="99">
        <f ca="1" t="shared" si="13"/>
        <v>5.04525993313058e-9</v>
      </c>
      <c r="AK114" s="70">
        <f ca="1">IF((AU114+AV114)&gt;0,(TEW-(AG114*AU114+AH114*AV114)/(AU114+AV114))/TEW,(TEW-(AG114+AH114)/2)/TEW)</f>
        <v>0.976782661350548</v>
      </c>
      <c r="AL114" s="70">
        <f ca="1" t="shared" si="14"/>
        <v>0.97680229458429</v>
      </c>
      <c r="AM114" s="70">
        <f ca="1" t="shared" si="15"/>
        <v>0.99999999976675</v>
      </c>
      <c r="AN114" s="70">
        <f ca="1">Wwp+(Wfc-Wwp)*IF((AU114+AV114)&gt;0,(TEW-(AG114*AU114+AH114*AV114)/(AU114+AV114))/TEW,(TEW-(AG114+AH114)/2)/TEW)</f>
        <v>0.396981745975571</v>
      </c>
      <c r="AO114" s="70">
        <f ca="1">Wwp+(Wfc-Wwp)*(R114-AI114)/R114</f>
        <v>0.396984298295958</v>
      </c>
      <c r="AP114" s="70">
        <f ca="1">Wwp+(Wfc-Wwp)*(S114-AJ114)/S114</f>
        <v>0.399999999969678</v>
      </c>
      <c r="AQ114" s="70"/>
      <c r="AR114" s="70"/>
      <c r="AS114" s="70"/>
      <c r="AT114" s="70"/>
      <c r="AU114" s="70">
        <f ca="1">MIN((1-G114),fw)</f>
        <v>0.314666666666667</v>
      </c>
      <c r="AV114" s="70">
        <f ca="1" t="shared" si="16"/>
        <v>0</v>
      </c>
      <c r="AW114" s="70">
        <f ca="1">MIN((TEW-Y114)/(TEW-REW),1)</f>
        <v>0.12584601043806</v>
      </c>
      <c r="AX114" s="70">
        <f ca="1">MIN((TEW-Z114)/(TEW-REW),1)</f>
        <v>0.12639571311947</v>
      </c>
      <c r="AY114" s="70">
        <f ca="1">IF((AU114*(TEW-Y114))&gt;0,1/(1+((AV114*(TEW-Z114))/(AU114*(TEW-Y114)))),0)</f>
        <v>1</v>
      </c>
      <c r="AZ114" s="70">
        <f ca="1">MIN((AY114*AW114*(Kcmax-H114)),AU114*Kcmax)</f>
        <v>0.047497744399773</v>
      </c>
      <c r="BA114" s="70">
        <f ca="1">MIN(((1-AY114)*AX114*(Kcmax-H114)),AV114*Kcmax)</f>
        <v>0</v>
      </c>
      <c r="BB114" s="70">
        <f ca="1" t="shared" si="17"/>
        <v>0.0368582496542238</v>
      </c>
      <c r="BC114" s="70">
        <f ca="1">MIN((R114-AA114)/(R114*(1-(p+0.04*(5-I113)))),1)</f>
        <v>1</v>
      </c>
      <c r="BD114" s="10">
        <f ca="1" t="shared" si="18"/>
        <v>0.599516264346219</v>
      </c>
      <c r="BE114" s="70">
        <f ca="1">MIN(IF((1-AA114/R114)&gt;0,(1-Y114/TEW)/(1-AA114/R114)*(Ze/P114)^0.6,0),1)*BC114*H114*B114</f>
        <v>0.27920319250596</v>
      </c>
      <c r="BF114" s="70">
        <f ca="1">MIN(IF((1-AA114/R114)&gt;0,(1-Z114/TEW)/(1-AA114/R114)*(Ze/P114)^0.6,0),1)*BC114*H114*B114</f>
        <v>0.280422768264019</v>
      </c>
      <c r="BH114" s="10">
        <f ca="1" t="shared" si="19"/>
        <v>0.000436621335157707</v>
      </c>
      <c r="BI114" s="10">
        <f ca="1">IF(F114&lt;&gt;"",(Moy_Etobs-F114)^2,"")</f>
        <v>0.905547456184152</v>
      </c>
    </row>
    <row r="115" spans="1:61">
      <c r="A115" s="38">
        <v>39108</v>
      </c>
      <c r="B115" s="10">
        <v>0.513</v>
      </c>
      <c r="C115" s="39">
        <v>0</v>
      </c>
      <c r="D115">
        <v>0.667</v>
      </c>
      <c r="E115" s="39">
        <v>0</v>
      </c>
      <c r="F115" s="10">
        <v>0.58716</v>
      </c>
      <c r="G115" s="10">
        <f ca="1">MIN(MAX(IF(AND(Durpla&gt;ROW()-MATCH(NDVImax,INDEX(D:D,Lig_min,1):INDEX(D:D,Lig_max,1),0)-Lig_min+1,ROW()-MATCH(NDVImax,INDEX(D:D,Lig_min,1):INDEX(D:D,Lig_max,1),0)-Lig_min+1&gt;0,D115*a_fc+b_fc&gt;fc_fin),NDVImax*a_fc+b_fc,D115*a_fc+b_fc),0),1)</f>
        <v>0.689333333333333</v>
      </c>
      <c r="H115" s="55">
        <f>MIN(MAX(D115*a_kcb+b_kcb,0),Kcmax)</f>
        <v>0.777081683649051</v>
      </c>
      <c r="I115" s="70">
        <f ca="1" t="shared" si="11"/>
        <v>0.422426802425405</v>
      </c>
      <c r="O115" s="55"/>
      <c r="P115" s="35">
        <f ca="1">IF(ROW()-MATCH(NDVImax,INDEX(D:D,Lig_min,1):INDEX(D:D,Lig_max,1),0)-Lig_min+1&gt;0,MAX(MIN(Zr_min+MAX(INDEX(G:G,Lig_min,1):INDEX(G:G,Lig_max,1))/MAX(MAX(INDEX(G:G,Lig_min,1):INDEX(G:G,Lig_max,1)),Max_fc_pour_Zrmax)*(Zr_max-Zr_min),Zr_max),Ze+0.001),MAX(MIN(Zr_min+G115/MAX(MAX(INDEX(G:G,Lig_min,1):INDEX(G:G,Lig_max,1)),Max_fc_pour_Zrmax)*(Zr_max-Zr_min),Zr_max),Ze+0.001))</f>
        <v>449.369984039599</v>
      </c>
      <c r="Q115" s="35">
        <f ca="1">IF(Z_sol&gt;0,Z_sol-P115,0.1)</f>
        <v>164.504567024835</v>
      </c>
      <c r="R115" s="35">
        <f ca="1">(Wfc-Wwp)*P115</f>
        <v>58.4180979251478</v>
      </c>
      <c r="S115" s="35">
        <f ca="1">(Wfc-Wwp)*Q115</f>
        <v>21.3855937132286</v>
      </c>
      <c r="T115" s="99">
        <f ca="1" t="shared" si="20"/>
        <v>0.769074342763093</v>
      </c>
      <c r="U115" s="99">
        <f ca="1" t="shared" si="21"/>
        <v>0.510095866222528</v>
      </c>
      <c r="V115" s="99">
        <f ca="1">IF(P115&gt;P114,IF(Q115&gt;1,MAX(AI114+(Wfc-Wwp)*(P115-P114)*AJ114/S114,0),AI114/P114*P115),MAX(AI114+(Wfc-Wwp)*(P115-P114)*AI114/R114,0))</f>
        <v>1.3494895997059</v>
      </c>
      <c r="W115" s="99">
        <f ca="1">IF(S115&gt;1,IF(P115&gt;P114,MAX(AJ114-(Wfc-Wwp)*(P115-P114)*AJ114/S114,0),MAX(AJ114-(Wfc-Wwp)*(P115-P114)*AI114/R114,0)),0)</f>
        <v>4.98818622755341e-9</v>
      </c>
      <c r="X115" s="99">
        <f ca="1">IF(AND(OR(AND(dec_vide_TAW&lt;0,V115&gt;R115*(p+0.04*(5-I114))),AND(dec_vide_TAW&gt;0,V115&gt;R115*dec_vide_TAW)),H115&gt;MAX(INDEX(H:H,Lig_min,1):INDEX(H:H,ROW(X115),1))*Kcbmax_stop_irrig*IF(ROW(X115)-lig_kcbmax&gt;0,1,0),MIN(INDEX(H:H,ROW(X115),1):INDEX(H:H,lig_kcbmax,1))&gt;Kcbmin_start_irrig),MIN(MAX(V115-E115*Irri_man-C115,0),Lame_max),0)</f>
        <v>0</v>
      </c>
      <c r="Y115" s="99">
        <f ca="1">MIN(MAX(T115-C115-IF(fw&gt;0,X115/fw*Irri_auto+E115/fw*Irri_man,0),0),TEW)</f>
        <v>0.769074342763093</v>
      </c>
      <c r="Z115" s="99">
        <f ca="1">MIN(MAX(U115-C115,0),TEW)</f>
        <v>0.510095866222528</v>
      </c>
      <c r="AA115" s="99">
        <f ca="1">MIN(MAX(V115-C115-(X115*Irri_auto+E115*Irri_man),0),R115)</f>
        <v>1.3494895997059</v>
      </c>
      <c r="AB115" s="99">
        <f ca="1">MIN(MAX(W115+MIN(V115-C115-(X115*Irri_auto+E115*Irri_man),0),0),S115)</f>
        <v>4.98818622755341e-9</v>
      </c>
      <c r="AC115" s="99">
        <f ca="1">-MIN(W115+MIN(V115-C115-(X115*Irri_auto+E115*Irri_man),0),0)</f>
        <v>0</v>
      </c>
      <c r="AD115" s="39">
        <f ca="1">IF(((R115-AA115)/P115-((Wfc-Wwp)*Ze-Y115)/Ze)/Wfc*DiffE&lt;0,MAX(((R115-AA115)/P115-((Wfc-Wwp)*Ze-Y115)/Ze)/Wfc*DiffE,(R115*Ze-((Wfc-Wwp)*Ze-Y115-AA115)*P115)/(P115+Ze)-AA115),MIN(((R115-AA115)/P115-((Wfc-Wwp)*Ze-Y115)/Ze)/Wfc*DiffE,(R115*Ze-((Wfc-Wwp)*Ze-Y115-AA115)*P115)/(P115+Ze)-AA115))</f>
        <v>7.8738114005358e-9</v>
      </c>
      <c r="AE115" s="39">
        <f ca="1">IF(((R115-AA115)/P115-((Wfc-Wwp)*Ze-Z115)/Ze)/Wfc*DiffE&lt;0,MAX(((R115-AA115)/P115-((Wfc-Wwp)*Ze-Z115)/Ze)/Wfc*DiffE,(R115*Ze-((Wfc-Wwp)*Ze-Z115-AA115)*P115)/(P115+Ze)-AA115),MIN(((R115-AA115)/P115-((Wfc-Wwp)*Ze-Z115)/Ze)/Wfc*DiffE,(R115*Ze-((Wfc-Wwp)*Ze-Z115-AA115)*P115)/(P115+Ze)-AA115))</f>
        <v>2.69424186972449e-9</v>
      </c>
      <c r="AF115" s="39">
        <f ca="1">IF(((S115-AB115)/Q115-(R115-AA115)/P115)/Wfc*DiffR&lt;0,MAX(((S115-AB115)/Q115-(R115-AA115)/P115)/Wfc*DiffR,(S115*P115-(R115-AA115-AB115)*Q115)/(P115+Q115)-AB115),MIN(((S115-AB115)/Q115-(R115-AA115)/P115)/Wfc*DiffR,(S115*P115-(R115-AA115-AB115)*Q115)/(P115+Q115)-AB115))</f>
        <v>7.50767537891994e-9</v>
      </c>
      <c r="AG115" s="99">
        <f ca="1">MIN(MAX(Y115+IF(AU115&gt;0,B115*AZ115/AU115,0)+BE115-AD115,0),TEW)</f>
        <v>1.03060807562817</v>
      </c>
      <c r="AH115" s="99">
        <f ca="1">MIN(MAX(Z115+IF(AV115&gt;0,B115*BA115/AV115,0)+BF115-AE115,0),TEW)</f>
        <v>0.696552548721122</v>
      </c>
      <c r="AI115" s="99">
        <f ca="1" t="shared" si="12"/>
        <v>1.77191639462363</v>
      </c>
      <c r="AJ115" s="99">
        <f ca="1" t="shared" si="13"/>
        <v>1.24958616064734e-8</v>
      </c>
      <c r="AK115" s="70">
        <f ca="1">IF((AU115+AV115)&gt;0,(TEW-(AG115*AU115+AH115*AV115)/(AU115+AV115))/TEW,(TEW-(AG115+AH115)/2)/TEW)</f>
        <v>0.968887303377263</v>
      </c>
      <c r="AL115" s="70">
        <f ca="1" t="shared" si="14"/>
        <v>0.969668365497041</v>
      </c>
      <c r="AM115" s="70">
        <f ca="1" t="shared" si="15"/>
        <v>0.999999999415688</v>
      </c>
      <c r="AN115" s="70">
        <f ca="1">Wwp+(Wfc-Wwp)*IF((AU115+AV115)&gt;0,(TEW-(AG115*AU115+AH115*AV115)/(AU115+AV115))/TEW,(TEW-(AG115+AH115)/2)/TEW)</f>
        <v>0.395955349439044</v>
      </c>
      <c r="AO115" s="70">
        <f ca="1">Wwp+(Wfc-Wwp)*(R115-AI115)/R115</f>
        <v>0.396056887514615</v>
      </c>
      <c r="AP115" s="70">
        <f ca="1">Wwp+(Wfc-Wwp)*(S115-AJ115)/S115</f>
        <v>0.399999999924039</v>
      </c>
      <c r="AQ115" s="70"/>
      <c r="AR115" s="70"/>
      <c r="AS115" s="70"/>
      <c r="AT115" s="70"/>
      <c r="AU115" s="70">
        <f ca="1">MIN((1-G115),fw)</f>
        <v>0.310666666666667</v>
      </c>
      <c r="AV115" s="70">
        <f ca="1" t="shared" si="16"/>
        <v>0</v>
      </c>
      <c r="AW115" s="70">
        <f ca="1">MIN((TEW-Y115)/(TEW-REW),1)</f>
        <v>0.124323138947404</v>
      </c>
      <c r="AX115" s="70">
        <f ca="1">MIN((TEW-Z115)/(TEW-REW),1)</f>
        <v>0.125318227682136</v>
      </c>
      <c r="AY115" s="70">
        <f ca="1">IF((AU115*(TEW-Y115))&gt;0,1/(1+((AV115*(TEW-Z115))/(AU115*(TEW-Y115)))),0)</f>
        <v>1</v>
      </c>
      <c r="AZ115" s="70">
        <f ca="1">MIN((AY115*AW115*(Kcmax-H115)),AU115*Kcmax)</f>
        <v>0.0463623756597311</v>
      </c>
      <c r="BA115" s="70">
        <f ca="1">MIN(((1-AY115)*AX115*(Kcmax-H115)),AV115*Kcmax)</f>
        <v>0</v>
      </c>
      <c r="BB115" s="70">
        <f ca="1" t="shared" si="17"/>
        <v>0.023783898713442</v>
      </c>
      <c r="BC115" s="70">
        <f ca="1">MIN((R115-AA115)/(R115*(1-(p+0.04*(5-I114)))),1)</f>
        <v>1</v>
      </c>
      <c r="BD115" s="10">
        <f ca="1" t="shared" si="18"/>
        <v>0.398642903711963</v>
      </c>
      <c r="BE115" s="70">
        <f ca="1">MIN(IF((1-AA115/R115)&gt;0,(1-Y115/TEW)/(1-AA115/R115)*(Ze/P115)^0.6,0),1)*BC115*H115*B115</f>
        <v>0.184976126854415</v>
      </c>
      <c r="BF115" s="70">
        <f ca="1">MIN(IF((1-AA115/R115)&gt;0,(1-Z115/TEW)/(1-AA115/R115)*(Ze/P115)^0.6,0),1)*BC115*H115*B115</f>
        <v>0.186456685192836</v>
      </c>
      <c r="BH115" s="10">
        <f ca="1" t="shared" si="19"/>
        <v>0.0271370263831505</v>
      </c>
      <c r="BI115" s="10">
        <f ca="1">IF(F115&lt;&gt;"",(Moy_Etobs-F115)^2,"")</f>
        <v>1.04389658101451</v>
      </c>
    </row>
    <row r="116" spans="1:61">
      <c r="A116" s="38">
        <v>39109</v>
      </c>
      <c r="B116" s="10">
        <v>0.569</v>
      </c>
      <c r="C116" s="39">
        <v>0</v>
      </c>
      <c r="D116">
        <v>0.67</v>
      </c>
      <c r="E116" s="39">
        <v>0</v>
      </c>
      <c r="F116" s="10">
        <v>0.504135</v>
      </c>
      <c r="G116" s="10">
        <f ca="1">MIN(MAX(IF(AND(Durpla&gt;ROW()-MATCH(NDVImax,INDEX(D:D,Lig_min,1):INDEX(D:D,Lig_max,1),0)-Lig_min+1,ROW()-MATCH(NDVImax,INDEX(D:D,Lig_min,1):INDEX(D:D,Lig_max,1),0)-Lig_min+1&gt;0,D116*a_fc+b_fc&gt;fc_fin),NDVImax*a_fc+b_fc,D116*a_fc+b_fc),0),1)</f>
        <v>0.693333333333333</v>
      </c>
      <c r="H116" s="55">
        <f>MIN(MAX(D116*a_kcb+b_kcb,0),Kcmax)</f>
        <v>0.781590861697305</v>
      </c>
      <c r="I116" s="70">
        <f ca="1" t="shared" si="11"/>
        <v>0.470575759986586</v>
      </c>
      <c r="O116" s="55"/>
      <c r="P116" s="35">
        <f ca="1">IF(ROW()-MATCH(NDVImax,INDEX(D:D,Lig_min,1):INDEX(D:D,Lig_max,1),0)-Lig_min+1&gt;0,MAX(MIN(Zr_min+MAX(INDEX(G:G,Lig_min,1):INDEX(G:G,Lig_max,1))/MAX(MAX(INDEX(G:G,Lig_min,1):INDEX(G:G,Lig_max,1)),Max_fc_pour_Zrmax)*(Zr_max-Zr_min),Zr_max),Ze+0.001),MAX(MIN(Zr_min+G116/MAX(MAX(INDEX(G:G,Lig_min,1):INDEX(G:G,Lig_max,1)),Max_fc_pour_Zrmax)*(Zr_max-Zr_min),Zr_max),Ze+0.001))</f>
        <v>451.252208318358</v>
      </c>
      <c r="Q116" s="35">
        <f ca="1">IF(Z_sol&gt;0,Z_sol-P116,0.1)</f>
        <v>162.622342746076</v>
      </c>
      <c r="R116" s="35">
        <f ca="1">(Wfc-Wwp)*P116</f>
        <v>58.6627870813866</v>
      </c>
      <c r="S116" s="35">
        <f ca="1">(Wfc-Wwp)*Q116</f>
        <v>21.1409045569898</v>
      </c>
      <c r="T116" s="99">
        <f ca="1" t="shared" si="20"/>
        <v>1.03060807562817</v>
      </c>
      <c r="U116" s="99">
        <f ca="1" t="shared" si="21"/>
        <v>0.696552548721122</v>
      </c>
      <c r="V116" s="99">
        <f ca="1">IF(P116&gt;P115,IF(Q116&gt;1,MAX(AI115+(Wfc-Wwp)*(P116-P115)*AJ115/S115,0),AI115/P115*P116),MAX(AI115+(Wfc-Wwp)*(P116-P115)*AI115/R115,0))</f>
        <v>1.7719163947666</v>
      </c>
      <c r="W116" s="99">
        <f ca="1">IF(S116&gt;1,IF(P116&gt;P115,MAX(AJ115-(Wfc-Wwp)*(P116-P115)*AJ115/S115,0),MAX(AJ115-(Wfc-Wwp)*(P116-P115)*AI115/R115,0)),0)</f>
        <v>1.23528867667768e-8</v>
      </c>
      <c r="X116" s="99">
        <f ca="1">IF(AND(OR(AND(dec_vide_TAW&lt;0,V116&gt;R116*(p+0.04*(5-I115))),AND(dec_vide_TAW&gt;0,V116&gt;R116*dec_vide_TAW)),H116&gt;MAX(INDEX(H:H,Lig_min,1):INDEX(H:H,ROW(X116),1))*Kcbmax_stop_irrig*IF(ROW(X116)-lig_kcbmax&gt;0,1,0),MIN(INDEX(H:H,ROW(X116),1):INDEX(H:H,lig_kcbmax,1))&gt;Kcbmin_start_irrig),MIN(MAX(V116-E116*Irri_man-C116,0),Lame_max),0)</f>
        <v>0</v>
      </c>
      <c r="Y116" s="99">
        <f ca="1">MIN(MAX(T116-C116-IF(fw&gt;0,X116/fw*Irri_auto+E116/fw*Irri_man,0),0),TEW)</f>
        <v>1.03060807562817</v>
      </c>
      <c r="Z116" s="99">
        <f ca="1">MIN(MAX(U116-C116,0),TEW)</f>
        <v>0.696552548721122</v>
      </c>
      <c r="AA116" s="99">
        <f ca="1">MIN(MAX(V116-C116-(X116*Irri_auto+E116*Irri_man),0),R116)</f>
        <v>1.7719163947666</v>
      </c>
      <c r="AB116" s="99">
        <f ca="1">MIN(MAX(W116+MIN(V116-C116-(X116*Irri_auto+E116*Irri_man),0),0),S116)</f>
        <v>1.23528867667768e-8</v>
      </c>
      <c r="AC116" s="99">
        <f ca="1">-MIN(W116+MIN(V116-C116-(X116*Irri_auto+E116*Irri_man),0),0)</f>
        <v>0</v>
      </c>
      <c r="AD116" s="39">
        <f ca="1">IF(((R116-AA116)/P116-((Wfc-Wwp)*Ze-Y116)/Ze)/Wfc*DiffE&lt;0,MAX(((R116-AA116)/P116-((Wfc-Wwp)*Ze-Y116)/Ze)/Wfc*DiffE,(R116*Ze-((Wfc-Wwp)*Ze-Y116-AA116)*P116)/(P116+Ze)-AA116),MIN(((R116-AA116)/P116-((Wfc-Wwp)*Ze-Y116)/Ze)/Wfc*DiffE,(R116*Ze-((Wfc-Wwp)*Ze-Y116-AA116)*P116)/(P116+Ze)-AA116))</f>
        <v>1.07954982248099e-8</v>
      </c>
      <c r="AE116" s="39">
        <f ca="1">IF(((R116-AA116)/P116-((Wfc-Wwp)*Ze-Z116)/Ze)/Wfc*DiffE&lt;0,MAX(((R116-AA116)/P116-((Wfc-Wwp)*Ze-Z116)/Ze)/Wfc*DiffE,(R116*Ze-((Wfc-Wwp)*Ze-Z116-AA116)*P116)/(P116+Ze)-AA116),MIN(((R116-AA116)/P116-((Wfc-Wwp)*Ze-Z116)/Ze)/Wfc*DiffE,(R116*Ze-((Wfc-Wwp)*Ze-Z116-AA116)*P116)/(P116+Ze)-AA116))</f>
        <v>4.11438768666901e-9</v>
      </c>
      <c r="AF116" s="39">
        <f ca="1">IF(((S116-AB116)/Q116-(R116-AA116)/P116)/Wfc*DiffR&lt;0,MAX(((S116-AB116)/Q116-(R116-AA116)/P116)/Wfc*DiffR,(S116*P116-(R116-AA116-AB116)*Q116)/(P116+Q116)-AB116),MIN(((S116-AB116)/Q116-(R116-AA116)/P116)/Wfc*DiffR,(S116*P116-(R116-AA116-AB116)*Q116)/(P116+Q116)-AB116))</f>
        <v>9.81666309785197e-9</v>
      </c>
      <c r="AG116" s="99">
        <f ca="1">MIN(MAX(Y116+IF(AU116&gt;0,B116*AZ116/AU116,0)+BE116-AD116,0),TEW)</f>
        <v>1.3205774275812</v>
      </c>
      <c r="AH116" s="99">
        <f ca="1">MIN(MAX(Z116+IF(AV116&gt;0,B116*BA116/AV116,0)+BF116-AE116,0),TEW)</f>
        <v>0.904367369215561</v>
      </c>
      <c r="AI116" s="99">
        <f ca="1" t="shared" si="12"/>
        <v>2.24249214493652</v>
      </c>
      <c r="AJ116" s="99">
        <f ca="1" t="shared" si="13"/>
        <v>2.21695498646288e-8</v>
      </c>
      <c r="AK116" s="70">
        <f ca="1">IF((AU116+AV116)&gt;0,(TEW-(AG116*AU116+AH116*AV116)/(AU116+AV116))/TEW,(TEW-(AG116+AH116)/2)/TEW)</f>
        <v>0.96013351162019</v>
      </c>
      <c r="AL116" s="70">
        <f ca="1" t="shared" si="14"/>
        <v>0.96177317416192</v>
      </c>
      <c r="AM116" s="70">
        <f ca="1" t="shared" si="15"/>
        <v>0.999999998951343</v>
      </c>
      <c r="AN116" s="70">
        <f ca="1">Wwp+(Wfc-Wwp)*IF((AU116+AV116)&gt;0,(TEW-(AG116*AU116+AH116*AV116)/(AU116+AV116))/TEW,(TEW-(AG116+AH116)/2)/TEW)</f>
        <v>0.394817356510625</v>
      </c>
      <c r="AO116" s="70">
        <f ca="1">Wwp+(Wfc-Wwp)*(R116-AI116)/R116</f>
        <v>0.39503051264105</v>
      </c>
      <c r="AP116" s="70">
        <f ca="1">Wwp+(Wfc-Wwp)*(S116-AJ116)/S116</f>
        <v>0.399999999863675</v>
      </c>
      <c r="AQ116" s="70"/>
      <c r="AR116" s="70"/>
      <c r="AS116" s="70"/>
      <c r="AT116" s="70"/>
      <c r="AU116" s="70">
        <f ca="1">MIN((1-G116),fw)</f>
        <v>0.306666666666667</v>
      </c>
      <c r="AV116" s="70">
        <f ca="1" t="shared" si="16"/>
        <v>0</v>
      </c>
      <c r="AW116" s="70">
        <f ca="1">MIN((TEW-Y116)/(TEW-REW),1)</f>
        <v>0.123318231996051</v>
      </c>
      <c r="AX116" s="70">
        <f ca="1">MIN((TEW-Z116)/(TEW-REW),1)</f>
        <v>0.124601793842736</v>
      </c>
      <c r="AY116" s="70">
        <f ca="1">IF((AU116*(TEW-Y116))&gt;0,1/(1+((AV116*(TEW-Z116))/(AU116*(TEW-Y116)))),0)</f>
        <v>1</v>
      </c>
      <c r="AZ116" s="70">
        <f ca="1">MIN((AY116*AW116*(Kcmax-H116)),AU116*Kcmax)</f>
        <v>0.0454315635866771</v>
      </c>
      <c r="BA116" s="70">
        <f ca="1">MIN(((1-AY116)*AX116*(Kcmax-H116)),AV116*Kcmax)</f>
        <v>0</v>
      </c>
      <c r="BB116" s="70">
        <f ca="1" t="shared" si="17"/>
        <v>0.0258505596808193</v>
      </c>
      <c r="BC116" s="70">
        <f ca="1">MIN((R116-AA116)/(R116*(1-(p+0.04*(5-I115)))),1)</f>
        <v>1</v>
      </c>
      <c r="BD116" s="10">
        <f ca="1" t="shared" si="18"/>
        <v>0.444725200305766</v>
      </c>
      <c r="BE116" s="70">
        <f ca="1">MIN(IF((1-AA116/R116)&gt;0,(1-Y116/TEW)/(1-AA116/R116)*(Ze/P116)^0.6,0),1)*BC116*H116*B116</f>
        <v>0.205674059441512</v>
      </c>
      <c r="BF116" s="70">
        <f ca="1">MIN(IF((1-AA116/R116)&gt;0,(1-Z116/TEW)/(1-AA116/R116)*(Ze/P116)^0.6,0),1)*BC116*H116*B116</f>
        <v>0.207814824608827</v>
      </c>
      <c r="BH116" s="10">
        <f ca="1" t="shared" si="19"/>
        <v>0.00112622259027796</v>
      </c>
      <c r="BI116" s="10">
        <f ca="1">IF(F116&lt;&gt;"",(Moy_Etobs-F116)^2,"")</f>
        <v>1.22044510432019</v>
      </c>
    </row>
    <row r="117" spans="1:61">
      <c r="A117" s="38">
        <v>39110</v>
      </c>
      <c r="B117" s="10">
        <v>0.285</v>
      </c>
      <c r="C117" s="39">
        <v>0</v>
      </c>
      <c r="D117">
        <v>0.673</v>
      </c>
      <c r="E117" s="39">
        <v>0</v>
      </c>
      <c r="F117" s="10">
        <v>0.183114</v>
      </c>
      <c r="G117" s="10">
        <f ca="1">MIN(MAX(IF(AND(Durpla&gt;ROW()-MATCH(NDVImax,INDEX(D:D,Lig_min,1):INDEX(D:D,Lig_max,1),0)-Lig_min+1,ROW()-MATCH(NDVImax,INDEX(D:D,Lig_min,1):INDEX(D:D,Lig_max,1),0)-Lig_min+1&gt;0,D117*a_fc+b_fc&gt;fc_fin),NDVImax*a_fc+b_fc,D117*a_fc+b_fc),0),1)</f>
        <v>0.697333333333333</v>
      </c>
      <c r="H117" s="55">
        <f>MIN(MAX(D117*a_kcb+b_kcb,0),Kcmax)</f>
        <v>0.786100039745558</v>
      </c>
      <c r="I117" s="70">
        <f ca="1" t="shared" si="11"/>
        <v>0.236712476844765</v>
      </c>
      <c r="O117" s="55"/>
      <c r="P117" s="35">
        <f ca="1">IF(ROW()-MATCH(NDVImax,INDEX(D:D,Lig_min,1):INDEX(D:D,Lig_max,1),0)-Lig_min+1&gt;0,MAX(MIN(Zr_min+MAX(INDEX(G:G,Lig_min,1):INDEX(G:G,Lig_max,1))/MAX(MAX(INDEX(G:G,Lig_min,1):INDEX(G:G,Lig_max,1)),Max_fc_pour_Zrmax)*(Zr_max-Zr_min),Zr_max),Ze+0.001),MAX(MIN(Zr_min+G117/MAX(MAX(INDEX(G:G,Lig_min,1):INDEX(G:G,Lig_max,1)),Max_fc_pour_Zrmax)*(Zr_max-Zr_min),Zr_max),Ze+0.001))</f>
        <v>453.134432597118</v>
      </c>
      <c r="Q117" s="35">
        <f ca="1">IF(Z_sol&gt;0,Z_sol-P117,0.1)</f>
        <v>160.740118467316</v>
      </c>
      <c r="R117" s="35">
        <f ca="1">(Wfc-Wwp)*P117</f>
        <v>58.9074762376254</v>
      </c>
      <c r="S117" s="35">
        <f ca="1">(Wfc-Wwp)*Q117</f>
        <v>20.8962154007511</v>
      </c>
      <c r="T117" s="99">
        <f ca="1" t="shared" si="20"/>
        <v>1.3205774275812</v>
      </c>
      <c r="U117" s="99">
        <f ca="1" t="shared" si="21"/>
        <v>0.904367369215561</v>
      </c>
      <c r="V117" s="99">
        <f ca="1">IF(P117&gt;P116,IF(Q117&gt;1,MAX(AI116+(Wfc-Wwp)*(P117-P116)*AJ116/S116,0),AI116/P116*P117),MAX(AI116+(Wfc-Wwp)*(P117-P116)*AI116/R116,0))</f>
        <v>2.24249214519312</v>
      </c>
      <c r="W117" s="99">
        <f ca="1">IF(S117&gt;1,IF(P117&gt;P116,MAX(AJ116-(Wfc-Wwp)*(P117-P116)*AJ116/S116,0),MAX(AJ116-(Wfc-Wwp)*(P117-P116)*AI116/R116,0)),0)</f>
        <v>2.19129549570672e-8</v>
      </c>
      <c r="X117" s="99">
        <f ca="1">IF(AND(OR(AND(dec_vide_TAW&lt;0,V117&gt;R117*(p+0.04*(5-I116))),AND(dec_vide_TAW&gt;0,V117&gt;R117*dec_vide_TAW)),H117&gt;MAX(INDEX(H:H,Lig_min,1):INDEX(H:H,ROW(X117),1))*Kcbmax_stop_irrig*IF(ROW(X117)-lig_kcbmax&gt;0,1,0),MIN(INDEX(H:H,ROW(X117),1):INDEX(H:H,lig_kcbmax,1))&gt;Kcbmin_start_irrig),MIN(MAX(V117-E117*Irri_man-C117,0),Lame_max),0)</f>
        <v>0</v>
      </c>
      <c r="Y117" s="99">
        <f ca="1">MIN(MAX(T117-C117-IF(fw&gt;0,X117/fw*Irri_auto+E117/fw*Irri_man,0),0),TEW)</f>
        <v>1.3205774275812</v>
      </c>
      <c r="Z117" s="99">
        <f ca="1">MIN(MAX(U117-C117,0),TEW)</f>
        <v>0.904367369215561</v>
      </c>
      <c r="AA117" s="99">
        <f ca="1">MIN(MAX(V117-C117-(X117*Irri_auto+E117*Irri_man),0),R117)</f>
        <v>2.24249214519312</v>
      </c>
      <c r="AB117" s="99">
        <f ca="1">MIN(MAX(W117+MIN(V117-C117-(X117*Irri_auto+E117*Irri_man),0),0),S117)</f>
        <v>2.19129549570672e-8</v>
      </c>
      <c r="AC117" s="99">
        <f ca="1">-MIN(W117+MIN(V117-C117-(X117*Irri_auto+E117*Irri_man),0),0)</f>
        <v>0</v>
      </c>
      <c r="AD117" s="39">
        <f ca="1">IF(((R117-AA117)/P117-((Wfc-Wwp)*Ze-Y117)/Ze)/Wfc*DiffE&lt;0,MAX(((R117-AA117)/P117-((Wfc-Wwp)*Ze-Y117)/Ze)/Wfc*DiffE,(R117*Ze-((Wfc-Wwp)*Ze-Y117-AA117)*P117)/(P117+Ze)-AA117),MIN(((R117-AA117)/P117-((Wfc-Wwp)*Ze-Y117)/Ze)/Wfc*DiffE,(R117*Ze-((Wfc-Wwp)*Ze-Y117-AA117)*P117)/(P117+Ze)-AA117))</f>
        <v>1.40394356427661e-8</v>
      </c>
      <c r="AE117" s="39">
        <f ca="1">IF(((R117-AA117)/P117-((Wfc-Wwp)*Ze-Z117)/Ze)/Wfc*DiffE&lt;0,MAX(((R117-AA117)/P117-((Wfc-Wwp)*Ze-Z117)/Ze)/Wfc*DiffE,(R117*Ze-((Wfc-Wwp)*Ze-Z117-AA117)*P117)/(P117+Ze)-AA117),MIN(((R117-AA117)/P117-((Wfc-Wwp)*Ze-Z117)/Ze)/Wfc*DiffE,(R117*Ze-((Wfc-Wwp)*Ze-Z117-AA117)*P117)/(P117+Ze)-AA117))</f>
        <v>5.71523447545331e-9</v>
      </c>
      <c r="AF117" s="39">
        <f ca="1">IF(((S117-AB117)/Q117-(R117-AA117)/P117)/Wfc*DiffR&lt;0,MAX(((S117-AB117)/Q117-(R117-AA117)/P117)/Wfc*DiffR,(S117*P117-(R117-AA117-AB117)*Q117)/(P117+Q117)-AB117),MIN(((S117-AB117)/Q117-(R117-AA117)/P117)/Wfc*DiffR,(S117*P117-(R117-AA117-AB117)*Q117)/(P117+Q117)-AB117))</f>
        <v>1.23721125680445e-8</v>
      </c>
      <c r="AG117" s="99">
        <f ca="1">MIN(MAX(Y117+IF(AU117&gt;0,B117*AZ117/AU117,0)+BE117-AD117,0),TEW)</f>
        <v>1.46570880080396</v>
      </c>
      <c r="AH117" s="99">
        <f ca="1">MIN(MAX(Z117+IF(AV117&gt;0,B117*BA117/AV117,0)+BF117-AE117,0),TEW)</f>
        <v>1.00897569357477</v>
      </c>
      <c r="AI117" s="99">
        <f ca="1" t="shared" si="12"/>
        <v>2.47920460966577</v>
      </c>
      <c r="AJ117" s="99">
        <f ca="1" t="shared" si="13"/>
        <v>3.42850675251117e-8</v>
      </c>
      <c r="AK117" s="70">
        <f ca="1">IF((AU117+AV117)&gt;0,(TEW-(AG117*AU117+AH117*AV117)/(AU117+AV117))/TEW,(TEW-(AG117+AH117)/2)/TEW)</f>
        <v>0.955752187145541</v>
      </c>
      <c r="AL117" s="70">
        <f ca="1" t="shared" si="14"/>
        <v>0.957913582994712</v>
      </c>
      <c r="AM117" s="70">
        <f ca="1" t="shared" si="15"/>
        <v>0.999999998359269</v>
      </c>
      <c r="AN117" s="70">
        <f ca="1">Wwp+(Wfc-Wwp)*IF((AU117+AV117)&gt;0,(TEW-(AG117*AU117+AH117*AV117)/(AU117+AV117))/TEW,(TEW-(AG117+AH117)/2)/TEW)</f>
        <v>0.39424778432892</v>
      </c>
      <c r="AO117" s="70">
        <f ca="1">Wwp+(Wfc-Wwp)*(R117-AI117)/R117</f>
        <v>0.394528765789313</v>
      </c>
      <c r="AP117" s="70">
        <f ca="1">Wwp+(Wfc-Wwp)*(S117-AJ117)/S117</f>
        <v>0.399999999786705</v>
      </c>
      <c r="AQ117" s="70"/>
      <c r="AR117" s="70"/>
      <c r="AS117" s="70"/>
      <c r="AT117" s="70"/>
      <c r="AU117" s="70">
        <f ca="1">MIN((1-G117),fw)</f>
        <v>0.302666666666667</v>
      </c>
      <c r="AV117" s="70">
        <f ca="1" t="shared" si="16"/>
        <v>0</v>
      </c>
      <c r="AW117" s="70">
        <f ca="1">MIN((TEW-Y117)/(TEW-REW),1)</f>
        <v>0.122204065137861</v>
      </c>
      <c r="AX117" s="70">
        <f ca="1">MIN((TEW-Z117)/(TEW-REW),1)</f>
        <v>0.123803294332095</v>
      </c>
      <c r="AY117" s="70">
        <f ca="1">IF((AU117*(TEW-Y117))&gt;0,1/(1+((AV117*(TEW-Z117))/(AU117*(TEW-Y117)))),0)</f>
        <v>1</v>
      </c>
      <c r="AZ117" s="70">
        <f ca="1">MIN((AY117*AW117*(Kcmax-H117)),AU117*Kcmax)</f>
        <v>0.044470054446599</v>
      </c>
      <c r="BA117" s="70">
        <f ca="1">MIN(((1-AY117)*AX117*(Kcmax-H117)),AV117*Kcmax)</f>
        <v>0</v>
      </c>
      <c r="BB117" s="70">
        <f ca="1" t="shared" si="17"/>
        <v>0.0126739655172807</v>
      </c>
      <c r="BC117" s="70">
        <f ca="1">MIN((R117-AA117)/(R117*(1-(p+0.04*(5-I116)))),1)</f>
        <v>1</v>
      </c>
      <c r="BD117" s="10">
        <f ca="1" t="shared" si="18"/>
        <v>0.224038511327484</v>
      </c>
      <c r="BE117" s="70">
        <f ca="1">MIN(IF((1-AA117/R117)&gt;0,(1-Y117/TEW)/(1-AA117/R117)*(Ze/P117)^0.6,0),1)*BC117*H117*B117</f>
        <v>0.103257051852673</v>
      </c>
      <c r="BF117" s="70">
        <f ca="1">MIN(IF((1-AA117/R117)&gt;0,(1-Z117/TEW)/(1-AA117/R117)*(Ze/P117)^0.6,0),1)*BC117*H117*B117</f>
        <v>0.104608330074449</v>
      </c>
      <c r="BH117" s="10">
        <f ca="1" t="shared" si="19"/>
        <v>0.00287279672007879</v>
      </c>
      <c r="BI117" s="10">
        <f ca="1">IF(F117&lt;&gt;"",(Moy_Etobs-F117)^2,"")</f>
        <v>2.0327875073502</v>
      </c>
    </row>
    <row r="118" spans="1:61">
      <c r="A118" s="38">
        <v>39111</v>
      </c>
      <c r="B118" s="10">
        <v>0.268</v>
      </c>
      <c r="C118" s="39">
        <v>0</v>
      </c>
      <c r="D118">
        <v>0.677</v>
      </c>
      <c r="E118" s="39">
        <v>0</v>
      </c>
      <c r="F118" s="10">
        <v>0.174096</v>
      </c>
      <c r="G118" s="10">
        <f ca="1">MIN(MAX(IF(AND(Durpla&gt;ROW()-MATCH(NDVImax,INDEX(D:D,Lig_min,1):INDEX(D:D,Lig_max,1),0)-Lig_min+1,ROW()-MATCH(NDVImax,INDEX(D:D,Lig_min,1):INDEX(D:D,Lig_max,1),0)-Lig_min+1&gt;0,D118*a_fc+b_fc&gt;fc_fin),NDVImax*a_fc+b_fc,D118*a_fc+b_fc),0),1)</f>
        <v>0.702666666666667</v>
      </c>
      <c r="H118" s="55">
        <f>MIN(MAX(D118*a_kcb+b_kcb,0),Kcmax)</f>
        <v>0.79211227714323</v>
      </c>
      <c r="I118" s="70">
        <f ca="1" t="shared" si="11"/>
        <v>0.2239536738332</v>
      </c>
      <c r="O118" s="55"/>
      <c r="P118" s="35">
        <f ca="1">IF(ROW()-MATCH(NDVImax,INDEX(D:D,Lig_min,1):INDEX(D:D,Lig_max,1),0)-Lig_min+1&gt;0,MAX(MIN(Zr_min+MAX(INDEX(G:G,Lig_min,1):INDEX(G:G,Lig_max,1))/MAX(MAX(INDEX(G:G,Lig_min,1):INDEX(G:G,Lig_max,1)),Max_fc_pour_Zrmax)*(Zr_max-Zr_min),Zr_max),Ze+0.001),MAX(MIN(Zr_min+G118/MAX(MAX(INDEX(G:G,Lig_min,1):INDEX(G:G,Lig_max,1)),Max_fc_pour_Zrmax)*(Zr_max-Zr_min),Zr_max),Ze+0.001))</f>
        <v>455.644064968798</v>
      </c>
      <c r="Q118" s="35">
        <f ca="1">IF(Z_sol&gt;0,Z_sol-P118,0.1)</f>
        <v>158.230486095636</v>
      </c>
      <c r="R118" s="35">
        <f ca="1">(Wfc-Wwp)*P118</f>
        <v>59.2337284459437</v>
      </c>
      <c r="S118" s="35">
        <f ca="1">(Wfc-Wwp)*Q118</f>
        <v>20.5699631924327</v>
      </c>
      <c r="T118" s="99">
        <f ca="1" t="shared" si="20"/>
        <v>1.46570880080396</v>
      </c>
      <c r="U118" s="99">
        <f ca="1" t="shared" si="21"/>
        <v>1.00897569357477</v>
      </c>
      <c r="V118" s="99">
        <f ca="1">IF(P118&gt;P117,IF(Q118&gt;1,MAX(AI117+(Wfc-Wwp)*(P118-P117)*AJ117/S117,0),AI117/P117*P118),MAX(AI117+(Wfc-Wwp)*(P118-P117)*AI117/R117,0))</f>
        <v>2.47920461020106</v>
      </c>
      <c r="W118" s="99">
        <f ca="1">IF(S118&gt;1,IF(P118&gt;P117,MAX(AJ117-(Wfc-Wwp)*(P118-P117)*AJ117/S117,0),MAX(AJ117-(Wfc-Wwp)*(P118-P117)*AI117/R117,0)),0)</f>
        <v>3.37497754266195e-8</v>
      </c>
      <c r="X118" s="99">
        <f ca="1">IF(AND(OR(AND(dec_vide_TAW&lt;0,V118&gt;R118*(p+0.04*(5-I117))),AND(dec_vide_TAW&gt;0,V118&gt;R118*dec_vide_TAW)),H118&gt;MAX(INDEX(H:H,Lig_min,1):INDEX(H:H,ROW(X118),1))*Kcbmax_stop_irrig*IF(ROW(X118)-lig_kcbmax&gt;0,1,0),MIN(INDEX(H:H,ROW(X118),1):INDEX(H:H,lig_kcbmax,1))&gt;Kcbmin_start_irrig),MIN(MAX(V118-E118*Irri_man-C118,0),Lame_max),0)</f>
        <v>0</v>
      </c>
      <c r="Y118" s="99">
        <f ca="1">MIN(MAX(T118-C118-IF(fw&gt;0,X118/fw*Irri_auto+E118/fw*Irri_man,0),0),TEW)</f>
        <v>1.46570880080396</v>
      </c>
      <c r="Z118" s="99">
        <f ca="1">MIN(MAX(U118-C118,0),TEW)</f>
        <v>1.00897569357477</v>
      </c>
      <c r="AA118" s="99">
        <f ca="1">MIN(MAX(V118-C118-(X118*Irri_auto+E118*Irri_man),0),R118)</f>
        <v>2.47920461020106</v>
      </c>
      <c r="AB118" s="99">
        <f ca="1">MIN(MAX(W118+MIN(V118-C118-(X118*Irri_auto+E118*Irri_man),0),0),S118)</f>
        <v>3.37497754266195e-8</v>
      </c>
      <c r="AC118" s="99">
        <f ca="1">-MIN(W118+MIN(V118-C118-(X118*Irri_auto+E118*Irri_man),0),0)</f>
        <v>0</v>
      </c>
      <c r="AD118" s="39">
        <f ca="1">IF(((R118-AA118)/P118-((Wfc-Wwp)*Ze-Y118)/Ze)/Wfc*DiffE&lt;0,MAX(((R118-AA118)/P118-((Wfc-Wwp)*Ze-Y118)/Ze)/Wfc*DiffE,(R118*Ze-((Wfc-Wwp)*Ze-Y118-AA118)*P118)/(P118+Ze)-AA118),MIN(((R118-AA118)/P118-((Wfc-Wwp)*Ze-Y118)/Ze)/Wfc*DiffE,(R118*Ze-((Wfc-Wwp)*Ze-Y118-AA118)*P118)/(P118+Ze)-AA118))</f>
        <v>1.57114277262993e-8</v>
      </c>
      <c r="AE118" s="39">
        <f ca="1">IF(((R118-AA118)/P118-((Wfc-Wwp)*Ze-Z118)/Ze)/Wfc*DiffE&lt;0,MAX(((R118-AA118)/P118-((Wfc-Wwp)*Ze-Z118)/Ze)/Wfc*DiffE,(R118*Ze-((Wfc-Wwp)*Ze-Z118-AA118)*P118)/(P118+Ze)-AA118),MIN(((R118-AA118)/P118-((Wfc-Wwp)*Ze-Z118)/Ze)/Wfc*DiffE,(R118*Ze-((Wfc-Wwp)*Ze-Z118-AA118)*P118)/(P118+Ze)-AA118))</f>
        <v>6.57676558171571e-9</v>
      </c>
      <c r="AF118" s="39">
        <f ca="1">IF(((S118-AB118)/Q118-(R118-AA118)/P118)/Wfc*DiffR&lt;0,MAX(((S118-AB118)/Q118-(R118-AA118)/P118)/Wfc*DiffR,(S118*P118-(R118-AA118-AB118)*Q118)/(P118+Q118)-AB118),MIN(((S118-AB118)/Q118-(R118-AA118)/P118)/Wfc*DiffR,(S118*P118-(R118-AA118-AB118)*Q118)/(P118+Q118)-AB118))</f>
        <v>1.36027477565423e-8</v>
      </c>
      <c r="AG118" s="99">
        <f ca="1">MIN(MAX(Y118+IF(AU118&gt;0,B118*AZ118/AU118,0)+BE118-AD118,0),TEW)</f>
        <v>1.60240495798268</v>
      </c>
      <c r="AH118" s="99">
        <f ca="1">MIN(MAX(Z118+IF(AV118&gt;0,B118*BA118/AV118,0)+BF118-AE118,0),TEW)</f>
        <v>1.10783704969501</v>
      </c>
      <c r="AI118" s="99">
        <f ca="1" t="shared" si="12"/>
        <v>2.70315827043151</v>
      </c>
      <c r="AJ118" s="99">
        <f ca="1" t="shared" si="13"/>
        <v>4.73525231831618e-8</v>
      </c>
      <c r="AK118" s="70">
        <f ca="1">IF((AU118+AV118)&gt;0,(TEW-(AG118*AU118+AH118*AV118)/(AU118+AV118))/TEW,(TEW-(AG118+AH118)/2)/TEW)</f>
        <v>0.95162551070241</v>
      </c>
      <c r="AL118" s="70">
        <f ca="1" t="shared" si="14"/>
        <v>0.954364542949573</v>
      </c>
      <c r="AM118" s="70">
        <f ca="1" t="shared" si="15"/>
        <v>0.999999997697977</v>
      </c>
      <c r="AN118" s="70">
        <f ca="1">Wwp+(Wfc-Wwp)*IF((AU118+AV118)&gt;0,(TEW-(AG118*AU118+AH118*AV118)/(AU118+AV118))/TEW,(TEW-(AG118+AH118)/2)/TEW)</f>
        <v>0.393711316391313</v>
      </c>
      <c r="AO118" s="70">
        <f ca="1">Wwp+(Wfc-Wwp)*(R118-AI118)/R118</f>
        <v>0.394067390583445</v>
      </c>
      <c r="AP118" s="70">
        <f ca="1">Wwp+(Wfc-Wwp)*(S118-AJ118)/S118</f>
        <v>0.399999999700737</v>
      </c>
      <c r="AQ118" s="70"/>
      <c r="AR118" s="70"/>
      <c r="AS118" s="70"/>
      <c r="AT118" s="70"/>
      <c r="AU118" s="70">
        <f ca="1">MIN((1-G118),fw)</f>
        <v>0.297333333333333</v>
      </c>
      <c r="AV118" s="70">
        <f ca="1" t="shared" si="16"/>
        <v>0</v>
      </c>
      <c r="AW118" s="70">
        <f ca="1">MIN((TEW-Y118)/(TEW-REW),1)</f>
        <v>0.121646418045025</v>
      </c>
      <c r="AX118" s="70">
        <f ca="1">MIN((TEW-Z118)/(TEW-REW),1)</f>
        <v>0.123401351411897</v>
      </c>
      <c r="AY118" s="70">
        <f ca="1">IF((AU118*(TEW-Y118))&gt;0,1/(1+((AV118*(TEW-Z118))/(AU118*(TEW-Y118)))),0)</f>
        <v>1</v>
      </c>
      <c r="AZ118" s="70">
        <f ca="1">MIN((AY118*AW118*(Kcmax-H118)),AU118*Kcmax)</f>
        <v>0.0435357595478166</v>
      </c>
      <c r="BA118" s="70">
        <f ca="1">MIN(((1-AY118)*AX118*(Kcmax-H118)),AV118*Kcmax)</f>
        <v>0</v>
      </c>
      <c r="BB118" s="70">
        <f ca="1" t="shared" si="17"/>
        <v>0.0116675835588149</v>
      </c>
      <c r="BC118" s="70">
        <f ca="1">MIN((R118-AA118)/(R118*(1-(p+0.04*(5-I117)))),1)</f>
        <v>1</v>
      </c>
      <c r="BD118" s="10">
        <f ca="1" t="shared" si="18"/>
        <v>0.212286090274386</v>
      </c>
      <c r="BE118" s="70">
        <f ca="1">MIN(IF((1-AA118/R118)&gt;0,(1-Y118/TEW)/(1-AA118/R118)*(Ze/P118)^0.6,0),1)*BC118*H118*B118</f>
        <v>0.097455421010733</v>
      </c>
      <c r="BF118" s="70">
        <f ca="1">MIN(IF((1-AA118/R118)&gt;0,(1-Z118/TEW)/(1-AA118/R118)*(Ze/P118)^0.6,0),1)*BC118*H118*B118</f>
        <v>0.0988613626969983</v>
      </c>
      <c r="BH118" s="10">
        <f ca="1" t="shared" si="19"/>
        <v>0.0024857876400578</v>
      </c>
      <c r="BI118" s="10">
        <f ca="1">IF(F118&lt;&gt;"",(Moy_Etobs-F118)^2,"")</f>
        <v>2.05858381328966</v>
      </c>
    </row>
    <row r="119" spans="1:61">
      <c r="A119" s="38">
        <v>39112</v>
      </c>
      <c r="B119" s="10">
        <v>0.4</v>
      </c>
      <c r="C119" s="39">
        <v>0.198</v>
      </c>
      <c r="D119">
        <v>0.68</v>
      </c>
      <c r="E119" s="39">
        <v>0</v>
      </c>
      <c r="F119"/>
      <c r="G119" s="10">
        <f ca="1">MIN(MAX(IF(AND(Durpla&gt;ROW()-MATCH(NDVImax,INDEX(D:D,Lig_min,1):INDEX(D:D,Lig_max,1),0)-Lig_min+1,ROW()-MATCH(NDVImax,INDEX(D:D,Lig_min,1):INDEX(D:D,Lig_max,1),0)-Lig_min+1&gt;0,D119*a_fc+b_fc&gt;fc_fin),NDVImax*a_fc+b_fc,D119*a_fc+b_fc),0),1)</f>
        <v>0.706666666666667</v>
      </c>
      <c r="H119" s="55">
        <f>MIN(MAX(D119*a_kcb+b_kcb,0),Kcmax)</f>
        <v>0.796621455191484</v>
      </c>
      <c r="I119" s="70">
        <f ca="1" t="shared" si="11"/>
        <v>0.335876771288226</v>
      </c>
      <c r="O119" s="55"/>
      <c r="P119" s="35">
        <f ca="1">IF(ROW()-MATCH(NDVImax,INDEX(D:D,Lig_min,1):INDEX(D:D,Lig_max,1),0)-Lig_min+1&gt;0,MAX(MIN(Zr_min+MAX(INDEX(G:G,Lig_min,1):INDEX(G:G,Lig_max,1))/MAX(MAX(INDEX(G:G,Lig_min,1):INDEX(G:G,Lig_max,1)),Max_fc_pour_Zrmax)*(Zr_max-Zr_min),Zr_max),Ze+0.001),MAX(MIN(Zr_min+G119/MAX(MAX(INDEX(G:G,Lig_min,1):INDEX(G:G,Lig_max,1)),Max_fc_pour_Zrmax)*(Zr_max-Zr_min),Zr_max),Ze+0.001))</f>
        <v>457.526289247558</v>
      </c>
      <c r="Q119" s="35">
        <f ca="1">IF(Z_sol&gt;0,Z_sol-P119,0.1)</f>
        <v>156.348261816876</v>
      </c>
      <c r="R119" s="35">
        <f ca="1">(Wfc-Wwp)*P119</f>
        <v>59.4784176021825</v>
      </c>
      <c r="S119" s="35">
        <f ca="1">(Wfc-Wwp)*Q119</f>
        <v>20.3252740361939</v>
      </c>
      <c r="T119" s="99">
        <f ca="1" t="shared" si="20"/>
        <v>1.60240495798268</v>
      </c>
      <c r="U119" s="99">
        <f ca="1" t="shared" si="21"/>
        <v>1.10783704969501</v>
      </c>
      <c r="V119" s="99">
        <f ca="1">IF(P119&gt;P118,IF(Q119&gt;1,MAX(AI118+(Wfc-Wwp)*(P119-P118)*AJ118/S118,0),AI118/P118*P119),MAX(AI118+(Wfc-Wwp)*(P119-P118)*AI118/R118,0))</f>
        <v>2.7031582709948</v>
      </c>
      <c r="W119" s="99">
        <f ca="1">IF(S119&gt;1,IF(P119&gt;P118,MAX(AJ118-(Wfc-Wwp)*(P119-P118)*AJ118/S118,0),MAX(AJ118-(Wfc-Wwp)*(P119-P118)*AI118/R118,0)),0)</f>
        <v>4.67892431794461e-8</v>
      </c>
      <c r="X119" s="99">
        <f ca="1">IF(AND(OR(AND(dec_vide_TAW&lt;0,V119&gt;R119*(p+0.04*(5-I118))),AND(dec_vide_TAW&gt;0,V119&gt;R119*dec_vide_TAW)),H119&gt;MAX(INDEX(H:H,Lig_min,1):INDEX(H:H,ROW(X119),1))*Kcbmax_stop_irrig*IF(ROW(X119)-lig_kcbmax&gt;0,1,0),MIN(INDEX(H:H,ROW(X119),1):INDEX(H:H,lig_kcbmax,1))&gt;Kcbmin_start_irrig),MIN(MAX(V119-E119*Irri_man-C119,0),Lame_max),0)</f>
        <v>0</v>
      </c>
      <c r="Y119" s="99">
        <f ca="1">MIN(MAX(T119-C119-IF(fw&gt;0,X119/fw*Irri_auto+E119/fw*Irri_man,0),0),TEW)</f>
        <v>1.40440495798268</v>
      </c>
      <c r="Z119" s="99">
        <f ca="1">MIN(MAX(U119-C119,0),TEW)</f>
        <v>0.909837049695008</v>
      </c>
      <c r="AA119" s="99">
        <f ca="1">MIN(MAX(V119-C119-(X119*Irri_auto+E119*Irri_man),0),R119)</f>
        <v>2.5051582709948</v>
      </c>
      <c r="AB119" s="99">
        <f ca="1">MIN(MAX(W119+MIN(V119-C119-(X119*Irri_auto+E119*Irri_man),0),0),S119)</f>
        <v>4.67892431794461e-8</v>
      </c>
      <c r="AC119" s="99">
        <f ca="1">-MIN(W119+MIN(V119-C119-(X119*Irri_auto+E119*Irri_man),0),0)</f>
        <v>0</v>
      </c>
      <c r="AD119" s="39">
        <f ca="1">IF(((R119-AA119)/P119-((Wfc-Wwp)*Ze-Y119)/Ze)/Wfc*DiffE&lt;0,MAX(((R119-AA119)/P119-((Wfc-Wwp)*Ze-Y119)/Ze)/Wfc*DiffE,(R119*Ze-((Wfc-Wwp)*Ze-Y119-AA119)*P119)/(P119+Ze)-AA119),MIN(((R119-AA119)/P119-((Wfc-Wwp)*Ze-Y119)/Ze)/Wfc*DiffE,(R119*Ze-((Wfc-Wwp)*Ze-Y119-AA119)*P119)/(P119+Ze)-AA119))</f>
        <v>1.43994962866103e-8</v>
      </c>
      <c r="AE119" s="39">
        <f ca="1">IF(((R119-AA119)/P119-((Wfc-Wwp)*Ze-Z119)/Ze)/Wfc*DiffE&lt;0,MAX(((R119-AA119)/P119-((Wfc-Wwp)*Ze-Z119)/Ze)/Wfc*DiffE,(R119*Ze-((Wfc-Wwp)*Ze-Z119-AA119)*P119)/(P119+Ze)-AA119),MIN(((R119-AA119)/P119-((Wfc-Wwp)*Ze-Z119)/Ze)/Wfc*DiffE,(R119*Ze-((Wfc-Wwp)*Ze-Z119-AA119)*P119)/(P119+Ze)-AA119))</f>
        <v>4.50813812085674e-9</v>
      </c>
      <c r="AF119" s="39">
        <f ca="1">IF(((S119-AB119)/Q119-(R119-AA119)/P119)/Wfc*DiffR&lt;0,MAX(((S119-AB119)/Q119-(R119-AA119)/P119)/Wfc*DiffR,(S119*P119-(R119-AA119-AB119)*Q119)/(P119+Q119)-AB119),MIN(((S119-AB119)/Q119-(R119-AA119)/P119)/Wfc*DiffR,(S119*P119-(R119-AA119-AB119)*Q119)/(P119+Q119)-AB119))</f>
        <v>1.3688602124886e-8</v>
      </c>
      <c r="AG119" s="99">
        <f ca="1">MIN(MAX(Y119+IF(AU119&gt;0,B119*AZ119/AU119,0)+BE119-AD119,0),TEW)</f>
        <v>1.60938278338068</v>
      </c>
      <c r="AH119" s="99">
        <f ca="1">MIN(MAX(Z119+IF(AV119&gt;0,B119*BA119/AV119,0)+BF119-AE119,0),TEW)</f>
        <v>1.05836258926587</v>
      </c>
      <c r="AI119" s="99">
        <f ca="1" t="shared" si="12"/>
        <v>2.84103502859442</v>
      </c>
      <c r="AJ119" s="99">
        <f ca="1" t="shared" si="13"/>
        <v>6.04778453043321e-8</v>
      </c>
      <c r="AK119" s="70">
        <f ca="1">IF((AU119+AV119)&gt;0,(TEW-(AG119*AU119+AH119*AV119)/(AU119+AV119))/TEW,(TEW-(AG119+AH119)/2)/TEW)</f>
        <v>0.95141485936964</v>
      </c>
      <c r="AL119" s="70">
        <f ca="1" t="shared" si="14"/>
        <v>0.952234186060623</v>
      </c>
      <c r="AM119" s="70">
        <f ca="1" t="shared" si="15"/>
        <v>0.9999999970245</v>
      </c>
      <c r="AN119" s="70">
        <f ca="1">Wwp+(Wfc-Wwp)*IF((AU119+AV119)&gt;0,(TEW-(AG119*AU119+AH119*AV119)/(AU119+AV119))/TEW,(TEW-(AG119+AH119)/2)/TEW)</f>
        <v>0.393683931718053</v>
      </c>
      <c r="AO119" s="70">
        <f ca="1">Wwp+(Wfc-Wwp)*(R119-AI119)/R119</f>
        <v>0.393790444187881</v>
      </c>
      <c r="AP119" s="70">
        <f ca="1">Wwp+(Wfc-Wwp)*(S119-AJ119)/S119</f>
        <v>0.399999999613185</v>
      </c>
      <c r="AQ119" s="70"/>
      <c r="AR119" s="70"/>
      <c r="AS119" s="70"/>
      <c r="AT119" s="70"/>
      <c r="AU119" s="70">
        <f ca="1">MIN((1-G119),fw)</f>
        <v>0.293333333333333</v>
      </c>
      <c r="AV119" s="70">
        <f ca="1" t="shared" si="16"/>
        <v>0</v>
      </c>
      <c r="AW119" s="70">
        <f ca="1">MIN((TEW-Y119)/(TEW-REW),1)</f>
        <v>0.121881969524831</v>
      </c>
      <c r="AX119" s="70">
        <f ca="1">MIN((TEW-Z119)/(TEW-REW),1)</f>
        <v>0.123782277846476</v>
      </c>
      <c r="AY119" s="70">
        <f ca="1">IF((AU119*(TEW-Y119))&gt;0,1/(1+((AV119*(TEW-Z119))/(AU119*(TEW-Y119)))),0)</f>
        <v>1</v>
      </c>
      <c r="AZ119" s="70">
        <f ca="1">MIN((AY119*AW119*(Kcmax-H119)),AU119*Kcmax)</f>
        <v>0.0430704730290809</v>
      </c>
      <c r="BA119" s="70">
        <f ca="1">MIN(((1-AY119)*AX119*(Kcmax-H119)),AV119*Kcmax)</f>
        <v>0</v>
      </c>
      <c r="BB119" s="70">
        <f ca="1" t="shared" si="17"/>
        <v>0.0172281892116324</v>
      </c>
      <c r="BC119" s="70">
        <f ca="1">MIN((R119-AA119)/(R119*(1-(p+0.04*(5-I118)))),1)</f>
        <v>1</v>
      </c>
      <c r="BD119" s="10">
        <f ca="1" t="shared" si="18"/>
        <v>0.318648582076593</v>
      </c>
      <c r="BE119" s="70">
        <f ca="1">MIN(IF((1-AA119/R119)&gt;0,(1-Y119/TEW)/(1-AA119/R119)*(Ze/P119)^0.6,0),1)*BC119*H119*B119</f>
        <v>0.146245376576022</v>
      </c>
      <c r="BF119" s="70">
        <f ca="1">MIN(IF((1-AA119/R119)&gt;0,(1-Z119/TEW)/(1-AA119/R119)*(Ze/P119)^0.6,0),1)*BC119*H119*B119</f>
        <v>0.148525544079001</v>
      </c>
      <c r="BH119" s="10" t="str">
        <f ca="1" t="shared" si="19"/>
        <v/>
      </c>
      <c r="BI119" s="10" t="str">
        <f ca="1">IF(F119&lt;&gt;"",(Moy_Etobs-F119)^2,"")</f>
        <v/>
      </c>
    </row>
    <row r="120" spans="1:61">
      <c r="A120" s="38">
        <v>39113</v>
      </c>
      <c r="B120" s="10">
        <v>0.403</v>
      </c>
      <c r="C120" s="39">
        <v>0.198</v>
      </c>
      <c r="D120">
        <v>0.683</v>
      </c>
      <c r="E120" s="39">
        <v>0</v>
      </c>
      <c r="F120"/>
      <c r="G120" s="10">
        <f ca="1">MIN(MAX(IF(AND(Durpla&gt;ROW()-MATCH(NDVImax,INDEX(D:D,Lig_min,1):INDEX(D:D,Lig_max,1),0)-Lig_min+1,ROW()-MATCH(NDVImax,INDEX(D:D,Lig_min,1):INDEX(D:D,Lig_max,1),0)-Lig_min+1&gt;0,D120*a_fc+b_fc&gt;fc_fin),NDVImax*a_fc+b_fc,D120*a_fc+b_fc),0),1)</f>
        <v>0.710666666666667</v>
      </c>
      <c r="H120" s="55">
        <f>MIN(MAX(D120*a_kcb+b_kcb,0),Kcmax)</f>
        <v>0.801130633239737</v>
      </c>
      <c r="I120" s="70">
        <f ca="1" t="shared" si="11"/>
        <v>0.339987792542662</v>
      </c>
      <c r="O120" s="55"/>
      <c r="P120" s="35">
        <f ca="1">IF(ROW()-MATCH(NDVImax,INDEX(D:D,Lig_min,1):INDEX(D:D,Lig_max,1),0)-Lig_min+1&gt;0,MAX(MIN(Zr_min+MAX(INDEX(G:G,Lig_min,1):INDEX(G:G,Lig_max,1))/MAX(MAX(INDEX(G:G,Lig_min,1):INDEX(G:G,Lig_max,1)),Max_fc_pour_Zrmax)*(Zr_max-Zr_min),Zr_max),Ze+0.001),MAX(MIN(Zr_min+G120/MAX(MAX(INDEX(G:G,Lig_min,1):INDEX(G:G,Lig_max,1)),Max_fc_pour_Zrmax)*(Zr_max-Zr_min),Zr_max),Ze+0.001))</f>
        <v>459.408513526317</v>
      </c>
      <c r="Q120" s="35">
        <f ca="1">IF(Z_sol&gt;0,Z_sol-P120,0.1)</f>
        <v>154.466037538117</v>
      </c>
      <c r="R120" s="35">
        <f ca="1">(Wfc-Wwp)*P120</f>
        <v>59.7231067584213</v>
      </c>
      <c r="S120" s="35">
        <f ca="1">(Wfc-Wwp)*Q120</f>
        <v>20.0805848799552</v>
      </c>
      <c r="T120" s="99">
        <f ca="1" t="shared" si="20"/>
        <v>1.60938278338068</v>
      </c>
      <c r="U120" s="99">
        <f ca="1" t="shared" si="21"/>
        <v>1.05836258926587</v>
      </c>
      <c r="V120" s="99">
        <f ca="1">IF(P120&gt;P119,IF(Q120&gt;1,MAX(AI119+(Wfc-Wwp)*(P120-P119)*AJ119/S119,0),AI119/P119*P120),MAX(AI119+(Wfc-Wwp)*(P120-P119)*AI119/R119,0))</f>
        <v>2.84103502932249</v>
      </c>
      <c r="W120" s="99">
        <f ca="1">IF(S120&gt;1,IF(P120&gt;P119,MAX(AJ119-(Wfc-Wwp)*(P120-P119)*AJ119/S119,0),MAX(AJ119-(Wfc-Wwp)*(P120-P119)*AI119/R119,0)),0)</f>
        <v>5.97497728113214e-8</v>
      </c>
      <c r="X120" s="99">
        <f ca="1">IF(AND(OR(AND(dec_vide_TAW&lt;0,V120&gt;R120*(p+0.04*(5-I119))),AND(dec_vide_TAW&gt;0,V120&gt;R120*dec_vide_TAW)),H120&gt;MAX(INDEX(H:H,Lig_min,1):INDEX(H:H,ROW(X120),1))*Kcbmax_stop_irrig*IF(ROW(X120)-lig_kcbmax&gt;0,1,0),MIN(INDEX(H:H,ROW(X120),1):INDEX(H:H,lig_kcbmax,1))&gt;Kcbmin_start_irrig),MIN(MAX(V120-E120*Irri_man-C120,0),Lame_max),0)</f>
        <v>0</v>
      </c>
      <c r="Y120" s="99">
        <f ca="1">MIN(MAX(T120-C120-IF(fw&gt;0,X120/fw*Irri_auto+E120/fw*Irri_man,0),0),TEW)</f>
        <v>1.41138278338068</v>
      </c>
      <c r="Z120" s="99">
        <f ca="1">MIN(MAX(U120-C120,0),TEW)</f>
        <v>0.86036258926587</v>
      </c>
      <c r="AA120" s="99">
        <f ca="1">MIN(MAX(V120-C120-(X120*Irri_auto+E120*Irri_man),0),R120)</f>
        <v>2.64303502932249</v>
      </c>
      <c r="AB120" s="99">
        <f ca="1">MIN(MAX(W120+MIN(V120-C120-(X120*Irri_auto+E120*Irri_man),0),0),S120)</f>
        <v>5.97497728113214e-8</v>
      </c>
      <c r="AC120" s="99">
        <f ca="1">-MIN(W120+MIN(V120-C120-(X120*Irri_auto+E120*Irri_man),0),0)</f>
        <v>0</v>
      </c>
      <c r="AD120" s="39">
        <f ca="1">IF(((R120-AA120)/P120-((Wfc-Wwp)*Ze-Y120)/Ze)/Wfc*DiffE&lt;0,MAX(((R120-AA120)/P120-((Wfc-Wwp)*Ze-Y120)/Ze)/Wfc*DiffE,(R120*Ze-((Wfc-Wwp)*Ze-Y120-AA120)*P120)/(P120+Ze)-AA120),MIN(((R120-AA120)/P120-((Wfc-Wwp)*Ze-Y120)/Ze)/Wfc*DiffE,(R120*Ze-((Wfc-Wwp)*Ze-Y120-AA120)*P120)/(P120+Ze)-AA120))</f>
        <v>1.38448408551761e-8</v>
      </c>
      <c r="AE120" s="39">
        <f ca="1">IF(((R120-AA120)/P120-((Wfc-Wwp)*Ze-Z120)/Ze)/Wfc*DiffE&lt;0,MAX(((R120-AA120)/P120-((Wfc-Wwp)*Ze-Z120)/Ze)/Wfc*DiffE,(R120*Ze-((Wfc-Wwp)*Ze-Z120-AA120)*P120)/(P120+Ze)-AA120),MIN(((R120-AA120)/P120-((Wfc-Wwp)*Ze-Z120)/Ze)/Wfc*DiffE,(R120*Ze-((Wfc-Wwp)*Ze-Z120-AA120)*P120)/(P120+Ze)-AA120))</f>
        <v>2.82443697287988e-9</v>
      </c>
      <c r="AF120" s="39">
        <f ca="1">IF(((S120-AB120)/Q120-(R120-AA120)/P120)/Wfc*DiffR&lt;0,MAX(((S120-AB120)/Q120-(R120-AA120)/P120)/Wfc*DiffR,(S120*P120-(R120-AA120-AB120)*Q120)/(P120+Q120)-AB120),MIN(((S120-AB120)/Q120-(R120-AA120)/P120)/Wfc*DiffR,(S120*P120-(R120-AA120-AB120)*Q120)/(P120+Q120)-AB120))</f>
        <v>1.43828138454002e-8</v>
      </c>
      <c r="AG120" s="99">
        <f ca="1">MIN(MAX(Y120+IF(AU120&gt;0,B120*AZ120/AU120,0)+BE120-AD120,0),TEW)</f>
        <v>1.61870470145889</v>
      </c>
      <c r="AH120" s="99">
        <f ca="1">MIN(MAX(Z120+IF(AV120&gt;0,B120*BA120/AV120,0)+BF120-AE120,0),TEW)</f>
        <v>1.01104541083535</v>
      </c>
      <c r="AI120" s="99">
        <f ca="1" t="shared" si="12"/>
        <v>2.98302280748234</v>
      </c>
      <c r="AJ120" s="99">
        <f ca="1" t="shared" si="13"/>
        <v>7.41325866567216e-8</v>
      </c>
      <c r="AK120" s="70">
        <f ca="1">IF((AU120+AV120)&gt;0,(TEW-(AG120*AU120+AH120*AV120)/(AU120+AV120))/TEW,(TEW-(AG120+AH120)/2)/TEW)</f>
        <v>0.951133442974826</v>
      </c>
      <c r="AL120" s="70">
        <f ca="1" t="shared" si="14"/>
        <v>0.950052450895621</v>
      </c>
      <c r="AM120" s="70">
        <f ca="1" t="shared" si="15"/>
        <v>0.999999996308246</v>
      </c>
      <c r="AN120" s="70">
        <f ca="1">Wwp+(Wfc-Wwp)*IF((AU120+AV120)&gt;0,(TEW-(AG120*AU120+AH120*AV120)/(AU120+AV120))/TEW,(TEW-(AG120+AH120)/2)/TEW)</f>
        <v>0.393647347586727</v>
      </c>
      <c r="AO120" s="70">
        <f ca="1">Wwp+(Wfc-Wwp)*(R120-AI120)/R120</f>
        <v>0.393506818616431</v>
      </c>
      <c r="AP120" s="70">
        <f ca="1">Wwp+(Wfc-Wwp)*(S120-AJ120)/S120</f>
        <v>0.399999999520072</v>
      </c>
      <c r="AQ120" s="70"/>
      <c r="AR120" s="70"/>
      <c r="AS120" s="70"/>
      <c r="AT120" s="70"/>
      <c r="AU120" s="70">
        <f ca="1">MIN((1-G120),fw)</f>
        <v>0.289333333333333</v>
      </c>
      <c r="AV120" s="70">
        <f ca="1" t="shared" si="16"/>
        <v>0</v>
      </c>
      <c r="AW120" s="70">
        <f ca="1">MIN((TEW-Y120)/(TEW-REW),1)</f>
        <v>0.121855158202365</v>
      </c>
      <c r="AX120" s="70">
        <f ca="1">MIN((TEW-Z120)/(TEW-REW),1)</f>
        <v>0.12397237657162</v>
      </c>
      <c r="AY120" s="70">
        <f ca="1">IF((AU120*(TEW-Y120))&gt;0,1/(1+((AV120*(TEW-Z120))/(AU120*(TEW-Y120)))),0)</f>
        <v>1</v>
      </c>
      <c r="AZ120" s="70">
        <f ca="1">MIN((AY120*AW120*(Kcmax-H120)),AU120*Kcmax)</f>
        <v>0.0425115318785306</v>
      </c>
      <c r="BA120" s="70">
        <f ca="1">MIN(((1-AY120)*AX120*(Kcmax-H120)),AV120*Kcmax)</f>
        <v>0</v>
      </c>
      <c r="BB120" s="70">
        <f ca="1" t="shared" si="17"/>
        <v>0.0171321473470478</v>
      </c>
      <c r="BC120" s="70">
        <f ca="1">MIN((R120-AA120)/(R120*(1-(p+0.04*(5-I119)))),1)</f>
        <v>1</v>
      </c>
      <c r="BD120" s="10">
        <f ca="1" t="shared" si="18"/>
        <v>0.322855645195614</v>
      </c>
      <c r="BE120" s="70">
        <f ca="1">MIN(IF((1-AA120/R120)&gt;0,(1-Y120/TEW)/(1-AA120/R120)*(Ze/P120)^0.6,0),1)*BC120*H120*B120</f>
        <v>0.148109441092242</v>
      </c>
      <c r="BF120" s="70">
        <f ca="1">MIN(IF((1-AA120/R120)&gt;0,(1-Z120/TEW)/(1-AA120/R120)*(Ze/P120)^0.6,0),1)*BC120*H120*B120</f>
        <v>0.150682824393915</v>
      </c>
      <c r="BH120" s="10" t="str">
        <f ca="1" t="shared" si="19"/>
        <v/>
      </c>
      <c r="BI120" s="10" t="str">
        <f ca="1">IF(F120&lt;&gt;"",(Moy_Etobs-F120)^2,"")</f>
        <v/>
      </c>
    </row>
    <row r="121" spans="1:61">
      <c r="A121" s="38">
        <v>39114</v>
      </c>
      <c r="B121" s="10">
        <v>0.375</v>
      </c>
      <c r="C121" s="39">
        <v>0</v>
      </c>
      <c r="D121">
        <v>0.686</v>
      </c>
      <c r="E121" s="39">
        <v>0</v>
      </c>
      <c r="F121" s="10">
        <v>0.2081358</v>
      </c>
      <c r="G121" s="10">
        <f ca="1">MIN(MAX(IF(AND(Durpla&gt;ROW()-MATCH(NDVImax,INDEX(D:D,Lig_min,1):INDEX(D:D,Lig_max,1),0)-Lig_min+1,ROW()-MATCH(NDVImax,INDEX(D:D,Lig_min,1):INDEX(D:D,Lig_max,1),0)-Lig_min+1&gt;0,D121*a_fc+b_fc&gt;fc_fin),NDVImax*a_fc+b_fc,D121*a_fc+b_fc),0),1)</f>
        <v>0.714666666666667</v>
      </c>
      <c r="H121" s="55">
        <f>MIN(MAX(D121*a_kcb+b_kcb,0),Kcmax)</f>
        <v>0.805639811287991</v>
      </c>
      <c r="I121" s="70">
        <f ca="1" t="shared" si="11"/>
        <v>0.317747833990029</v>
      </c>
      <c r="O121" s="55"/>
      <c r="P121" s="35">
        <f ca="1">IF(ROW()-MATCH(NDVImax,INDEX(D:D,Lig_min,1):INDEX(D:D,Lig_max,1),0)-Lig_min+1&gt;0,MAX(MIN(Zr_min+MAX(INDEX(G:G,Lig_min,1):INDEX(G:G,Lig_max,1))/MAX(MAX(INDEX(G:G,Lig_min,1):INDEX(G:G,Lig_max,1)),Max_fc_pour_Zrmax)*(Zr_max-Zr_min),Zr_max),Ze+0.001),MAX(MIN(Zr_min+G121/MAX(MAX(INDEX(G:G,Lig_min,1):INDEX(G:G,Lig_max,1)),Max_fc_pour_Zrmax)*(Zr_max-Zr_min),Zr_max),Ze+0.001))</f>
        <v>461.290737805077</v>
      </c>
      <c r="Q121" s="35">
        <f ca="1">IF(Z_sol&gt;0,Z_sol-P121,0.1)</f>
        <v>152.583813259357</v>
      </c>
      <c r="R121" s="35">
        <f ca="1">(Wfc-Wwp)*P121</f>
        <v>59.96779591466</v>
      </c>
      <c r="S121" s="35">
        <f ca="1">(Wfc-Wwp)*Q121</f>
        <v>19.8358957237164</v>
      </c>
      <c r="T121" s="99">
        <f ca="1" t="shared" si="20"/>
        <v>1.61870470145889</v>
      </c>
      <c r="U121" s="99">
        <f ca="1" t="shared" si="21"/>
        <v>1.01104541083535</v>
      </c>
      <c r="V121" s="99">
        <f ca="1">IF(P121&gt;P120,IF(Q121&gt;1,MAX(AI120+(Wfc-Wwp)*(P121-P120)*AJ120/S120,0),AI120/P120*P121),MAX(AI120+(Wfc-Wwp)*(P121-P120)*AI120/R120,0))</f>
        <v>2.98302280838567</v>
      </c>
      <c r="W121" s="99">
        <f ca="1">IF(S121&gt;1,IF(P121&gt;P120,MAX(AJ120-(Wfc-Wwp)*(P121-P120)*AJ120/S120,0),MAX(AJ120-(Wfc-Wwp)*(P121-P120)*AI120/R120,0)),0)</f>
        <v>7.32292543988581e-8</v>
      </c>
      <c r="X121" s="99">
        <f ca="1">IF(AND(OR(AND(dec_vide_TAW&lt;0,V121&gt;R121*(p+0.04*(5-I120))),AND(dec_vide_TAW&gt;0,V121&gt;R121*dec_vide_TAW)),H121&gt;MAX(INDEX(H:H,Lig_min,1):INDEX(H:H,ROW(X121),1))*Kcbmax_stop_irrig*IF(ROW(X121)-lig_kcbmax&gt;0,1,0),MIN(INDEX(H:H,ROW(X121),1):INDEX(H:H,lig_kcbmax,1))&gt;Kcbmin_start_irrig),MIN(MAX(V121-E121*Irri_man-C121,0),Lame_max),0)</f>
        <v>0</v>
      </c>
      <c r="Y121" s="99">
        <f ca="1">MIN(MAX(T121-C121-IF(fw&gt;0,X121/fw*Irri_auto+E121/fw*Irri_man,0),0),TEW)</f>
        <v>1.61870470145889</v>
      </c>
      <c r="Z121" s="99">
        <f ca="1">MIN(MAX(U121-C121,0),TEW)</f>
        <v>1.01104541083535</v>
      </c>
      <c r="AA121" s="99">
        <f ca="1">MIN(MAX(V121-C121-(X121*Irri_auto+E121*Irri_man),0),R121)</f>
        <v>2.98302280838567</v>
      </c>
      <c r="AB121" s="99">
        <f ca="1">MIN(MAX(W121+MIN(V121-C121-(X121*Irri_auto+E121*Irri_man),0),0),S121)</f>
        <v>7.32292543988581e-8</v>
      </c>
      <c r="AC121" s="99">
        <f ca="1">-MIN(W121+MIN(V121-C121-(X121*Irri_auto+E121*Irri_man),0),0)</f>
        <v>0</v>
      </c>
      <c r="AD121" s="39">
        <f ca="1">IF(((R121-AA121)/P121-((Wfc-Wwp)*Ze-Y121)/Ze)/Wfc*DiffE&lt;0,MAX(((R121-AA121)/P121-((Wfc-Wwp)*Ze-Y121)/Ze)/Wfc*DiffE,(R121*Ze-((Wfc-Wwp)*Ze-Y121-AA121)*P121)/(P121+Ze)-AA121),MIN(((R121-AA121)/P121-((Wfc-Wwp)*Ze-Y121)/Ze)/Wfc*DiffE,(R121*Ze-((Wfc-Wwp)*Ze-Y121-AA121)*P121)/(P121+Ze)-AA121))</f>
        <v>1.62073765779477e-8</v>
      </c>
      <c r="AE121" s="39">
        <f ca="1">IF(((R121-AA121)/P121-((Wfc-Wwp)*Ze-Z121)/Ze)/Wfc*DiffE&lt;0,MAX(((R121-AA121)/P121-((Wfc-Wwp)*Ze-Z121)/Ze)/Wfc*DiffE,(R121*Ze-((Wfc-Wwp)*Ze-Z121-AA121)*P121)/(P121+Ze)-AA121),MIN(((R121-AA121)/P121-((Wfc-Wwp)*Ze-Z121)/Ze)/Wfc*DiffE,(R121*Ze-((Wfc-Wwp)*Ze-Z121-AA121)*P121)/(P121+Ze)-AA121))</f>
        <v>4.05419076547678e-9</v>
      </c>
      <c r="AF121" s="39">
        <f ca="1">IF(((S121-AB121)/Q121-(R121-AA121)/P121)/Wfc*DiffR&lt;0,MAX(((S121-AB121)/Q121-(R121-AA121)/P121)/Wfc*DiffR,(S121*P121-(R121-AA121-AB121)*Q121)/(P121+Q121)-AB121),MIN(((S121-AB121)/Q121-(R121-AA121)/P121)/Wfc*DiffR,(S121*P121-(R121-AA121-AB121)*Q121)/(P121+Q121)-AB121))</f>
        <v>1.616671625141e-8</v>
      </c>
      <c r="AG121" s="99">
        <f ca="1">MIN(MAX(Y121+IF(AU121&gt;0,B121*AZ121/AU121,0)+BE121-AD121,0),TEW)</f>
        <v>1.81163755258393</v>
      </c>
      <c r="AH121" s="99">
        <f ca="1">MIN(MAX(Z121+IF(AV121&gt;0,B121*BA121/AV121,0)+BF121-AE121,0),TEW)</f>
        <v>1.15185444084877</v>
      </c>
      <c r="AI121" s="99">
        <f ca="1" t="shared" si="12"/>
        <v>3.30077062620898</v>
      </c>
      <c r="AJ121" s="99">
        <f ca="1" t="shared" si="13"/>
        <v>8.93959706502681e-8</v>
      </c>
      <c r="AK121" s="70">
        <f ca="1">IF((AU121+AV121)&gt;0,(TEW-(AG121*AU121+AH121*AV121)/(AU121+AV121))/TEW,(TEW-(AG121+AH121)/2)/TEW)</f>
        <v>0.945309055016334</v>
      </c>
      <c r="AL121" s="70">
        <f ca="1" t="shared" si="14"/>
        <v>0.944957613067749</v>
      </c>
      <c r="AM121" s="70">
        <f ca="1" t="shared" si="15"/>
        <v>0.999999995493222</v>
      </c>
      <c r="AN121" s="70">
        <f ca="1">Wwp+(Wfc-Wwp)*IF((AU121+AV121)&gt;0,(TEW-(AG121*AU121+AH121*AV121)/(AU121+AV121))/TEW,(TEW-(AG121+AH121)/2)/TEW)</f>
        <v>0.392890177152123</v>
      </c>
      <c r="AO121" s="70">
        <f ca="1">Wwp+(Wfc-Wwp)*(R121-AI121)/R121</f>
        <v>0.392844489698807</v>
      </c>
      <c r="AP121" s="70">
        <f ca="1">Wwp+(Wfc-Wwp)*(S121-AJ121)/S121</f>
        <v>0.399999999414119</v>
      </c>
      <c r="AQ121" s="70"/>
      <c r="AR121" s="70"/>
      <c r="AS121" s="70"/>
      <c r="AT121" s="70"/>
      <c r="AU121" s="70">
        <f ca="1">MIN((1-G121),fw)</f>
        <v>0.285333333333333</v>
      </c>
      <c r="AV121" s="70">
        <f ca="1" t="shared" si="16"/>
        <v>0</v>
      </c>
      <c r="AW121" s="70">
        <f ca="1">MIN((TEW-Y121)/(TEW-REW),1)</f>
        <v>0.121058552600623</v>
      </c>
      <c r="AX121" s="70">
        <f ca="1">MIN((TEW-Z121)/(TEW-REW),1)</f>
        <v>0.123393398811521</v>
      </c>
      <c r="AY121" s="70">
        <f ca="1">IF((AU121*(TEW-Y121))&gt;0,1/(1+((AV121*(TEW-Z121))/(AU121*(TEW-Y121)))),0)</f>
        <v>1</v>
      </c>
      <c r="AZ121" s="70">
        <f ca="1">MIN((AY121*AW121*(Kcmax-H121)),AU121*Kcmax)</f>
        <v>0.0416877460187533</v>
      </c>
      <c r="BA121" s="70">
        <f ca="1">MIN(((1-AY121)*AX121*(Kcmax-H121)),AV121*Kcmax)</f>
        <v>0</v>
      </c>
      <c r="BB121" s="70">
        <f ca="1" t="shared" si="17"/>
        <v>0.0156329047570325</v>
      </c>
      <c r="BC121" s="70">
        <f ca="1">MIN((R121-AA121)/(R121*(1-(p+0.04*(5-I120)))),1)</f>
        <v>1</v>
      </c>
      <c r="BD121" s="10">
        <f ca="1" t="shared" si="18"/>
        <v>0.302114929232997</v>
      </c>
      <c r="BE121" s="70">
        <f ca="1">MIN(IF((1-AA121/R121)&gt;0,(1-Y121/TEW)/(1-AA121/R121)*(Ze/P121)^0.6,0),1)*BC121*H121*B121</f>
        <v>0.138144649725988</v>
      </c>
      <c r="BF121" s="70">
        <f ca="1">MIN(IF((1-AA121/R121)&gt;0,(1-Z121/TEW)/(1-AA121/R121)*(Ze/P121)^0.6,0),1)*BC121*H121*B121</f>
        <v>0.140809034067609</v>
      </c>
      <c r="BH121" s="10">
        <f ca="1" t="shared" si="19"/>
        <v>0.0120147979954313</v>
      </c>
      <c r="BI121" s="10">
        <f ca="1">IF(F121&lt;&gt;"",(Moy_Etobs-F121)^2,"")</f>
        <v>1.96206350612154</v>
      </c>
    </row>
    <row r="122" spans="1:61">
      <c r="A122" s="38">
        <v>39115</v>
      </c>
      <c r="B122" s="10">
        <v>0.448</v>
      </c>
      <c r="C122" s="39">
        <v>0</v>
      </c>
      <c r="D122">
        <v>0.689</v>
      </c>
      <c r="E122" s="39">
        <v>0</v>
      </c>
      <c r="F122" s="10">
        <v>0.2370024</v>
      </c>
      <c r="G122" s="10">
        <f ca="1">MIN(MAX(IF(AND(Durpla&gt;ROW()-MATCH(NDVImax,INDEX(D:D,Lig_min,1):INDEX(D:D,Lig_max,1),0)-Lig_min+1,ROW()-MATCH(NDVImax,INDEX(D:D,Lig_min,1):INDEX(D:D,Lig_max,1),0)-Lig_min+1&gt;0,D122*a_fc+b_fc&gt;fc_fin),NDVImax*a_fc+b_fc,D122*a_fc+b_fc),0),1)</f>
        <v>0.718666666666667</v>
      </c>
      <c r="H122" s="55">
        <f>MIN(MAX(D122*a_kcb+b_kcb,0),Kcmax)</f>
        <v>0.810148989336244</v>
      </c>
      <c r="I122" s="70">
        <f ca="1" t="shared" si="11"/>
        <v>0.381265437614289</v>
      </c>
      <c r="O122" s="55"/>
      <c r="P122" s="35">
        <f ca="1">IF(ROW()-MATCH(NDVImax,INDEX(D:D,Lig_min,1):INDEX(D:D,Lig_max,1),0)-Lig_min+1&gt;0,MAX(MIN(Zr_min+MAX(INDEX(G:G,Lig_min,1):INDEX(G:G,Lig_max,1))/MAX(MAX(INDEX(G:G,Lig_min,1):INDEX(G:G,Lig_max,1)),Max_fc_pour_Zrmax)*(Zr_max-Zr_min),Zr_max),Ze+0.001),MAX(MIN(Zr_min+G122/MAX(MAX(INDEX(G:G,Lig_min,1):INDEX(G:G,Lig_max,1)),Max_fc_pour_Zrmax)*(Zr_max-Zr_min),Zr_max),Ze+0.001))</f>
        <v>463.172962083837</v>
      </c>
      <c r="Q122" s="35">
        <f ca="1">IF(Z_sol&gt;0,Z_sol-P122,0.1)</f>
        <v>150.701588980597</v>
      </c>
      <c r="R122" s="35">
        <f ca="1">(Wfc-Wwp)*P122</f>
        <v>60.2124850708988</v>
      </c>
      <c r="S122" s="35">
        <f ca="1">(Wfc-Wwp)*Q122</f>
        <v>19.5912065674776</v>
      </c>
      <c r="T122" s="99">
        <f ca="1" t="shared" si="20"/>
        <v>1.81163755258393</v>
      </c>
      <c r="U122" s="99">
        <f ca="1" t="shared" si="21"/>
        <v>1.15185444084877</v>
      </c>
      <c r="V122" s="99">
        <f ca="1">IF(P122&gt;P121,IF(Q122&gt;1,MAX(AI121+(Wfc-Wwp)*(P122-P121)*AJ121/S121,0),AI121/P121*P122),MAX(AI121+(Wfc-Wwp)*(P122-P121)*AI121/R121,0))</f>
        <v>3.30077062731174</v>
      </c>
      <c r="W122" s="99">
        <f ca="1">IF(S122&gt;1,IF(P122&gt;P121,MAX(AJ121-(Wfc-Wwp)*(P122-P121)*AJ121/S121,0),MAX(AJ121-(Wfc-Wwp)*(P122-P121)*AI121/R121,0)),0)</f>
        <v>8.82932110404055e-8</v>
      </c>
      <c r="X122" s="99">
        <f ca="1">IF(AND(OR(AND(dec_vide_TAW&lt;0,V122&gt;R122*(p+0.04*(5-I121))),AND(dec_vide_TAW&gt;0,V122&gt;R122*dec_vide_TAW)),H122&gt;MAX(INDEX(H:H,Lig_min,1):INDEX(H:H,ROW(X122),1))*Kcbmax_stop_irrig*IF(ROW(X122)-lig_kcbmax&gt;0,1,0),MIN(INDEX(H:H,ROW(X122),1):INDEX(H:H,lig_kcbmax,1))&gt;Kcbmin_start_irrig),MIN(MAX(V122-E122*Irri_man-C122,0),Lame_max),0)</f>
        <v>0</v>
      </c>
      <c r="Y122" s="99">
        <f ca="1">MIN(MAX(T122-C122-IF(fw&gt;0,X122/fw*Irri_auto+E122/fw*Irri_man,0),0),TEW)</f>
        <v>1.81163755258393</v>
      </c>
      <c r="Z122" s="99">
        <f ca="1">MIN(MAX(U122-C122,0),TEW)</f>
        <v>1.15185444084877</v>
      </c>
      <c r="AA122" s="99">
        <f ca="1">MIN(MAX(V122-C122-(X122*Irri_auto+E122*Irri_man),0),R122)</f>
        <v>3.30077062731174</v>
      </c>
      <c r="AB122" s="99">
        <f ca="1">MIN(MAX(W122+MIN(V122-C122-(X122*Irri_auto+E122*Irri_man),0),0),S122)</f>
        <v>8.82932110404055e-8</v>
      </c>
      <c r="AC122" s="99">
        <f ca="1">-MIN(W122+MIN(V122-C122-(X122*Irri_auto+E122*Irri_man),0),0)</f>
        <v>0</v>
      </c>
      <c r="AD122" s="39">
        <f ca="1">IF(((R122-AA122)/P122-((Wfc-Wwp)*Ze-Y122)/Ze)/Wfc*DiffE&lt;0,MAX(((R122-AA122)/P122-((Wfc-Wwp)*Ze-Y122)/Ze)/Wfc*DiffE,(R122*Ze-((Wfc-Wwp)*Ze-Y122-AA122)*P122)/(P122+Ze)-AA122),MIN(((R122-AA122)/P122-((Wfc-Wwp)*Ze-Y122)/Ze)/Wfc*DiffE,(R122*Ze-((Wfc-Wwp)*Ze-Y122-AA122)*P122)/(P122+Ze)-AA122))</f>
        <v>1.84166710042735e-8</v>
      </c>
      <c r="AE122" s="39">
        <f ca="1">IF(((R122-AA122)/P122-((Wfc-Wwp)*Ze-Z122)/Ze)/Wfc*DiffE&lt;0,MAX(((R122-AA122)/P122-((Wfc-Wwp)*Ze-Z122)/Ze)/Wfc*DiffE,(R122*Ze-((Wfc-Wwp)*Ze-Z122-AA122)*P122)/(P122+Ze)-AA122),MIN(((R122-AA122)/P122-((Wfc-Wwp)*Ze-Z122)/Ze)/Wfc*DiffE,(R122*Ze-((Wfc-Wwp)*Ze-Z122-AA122)*P122)/(P122+Ze)-AA122))</f>
        <v>5.22100876957025e-9</v>
      </c>
      <c r="AF122" s="39">
        <f ca="1">IF(((S122-AB122)/Q122-(R122-AA122)/P122)/Wfc*DiffR&lt;0,MAX(((S122-AB122)/Q122-(R122-AA122)/P122)/Wfc*DiffR,(S122*P122-(R122-AA122-AB122)*Q122)/(P122+Q122)-AB122),MIN(((S122-AB122)/Q122-(R122-AA122)/P122)/Wfc*DiffR,(S122*P122-(R122-AA122-AB122)*Q122)/(P122+Q122)-AB122))</f>
        <v>1.78160785827023e-8</v>
      </c>
      <c r="AG122" s="99">
        <f ca="1">MIN(MAX(Y122+IF(AU122&gt;0,B122*AZ122/AU122,0)+BE122-AD122,0),TEW)</f>
        <v>2.04217657370823</v>
      </c>
      <c r="AH122" s="99">
        <f ca="1">MIN(MAX(Z122+IF(AV122&gt;0,B122*BA122/AV122,0)+BF122-AE122,0),TEW)</f>
        <v>1.32076521177461</v>
      </c>
      <c r="AI122" s="99">
        <f ca="1" t="shared" si="12"/>
        <v>3.68203604710995</v>
      </c>
      <c r="AJ122" s="99">
        <f ca="1" t="shared" si="13"/>
        <v>1.06109289623108e-7</v>
      </c>
      <c r="AK122" s="70">
        <f ca="1">IF((AU122+AV122)&gt;0,(TEW-(AG122*AU122+AH122*AV122)/(AU122+AV122))/TEW,(TEW-(AG122+AH122)/2)/TEW)</f>
        <v>0.938349386454091</v>
      </c>
      <c r="AL122" s="70">
        <f ca="1" t="shared" si="14"/>
        <v>0.938849292754245</v>
      </c>
      <c r="AM122" s="70">
        <f ca="1" t="shared" si="15"/>
        <v>0.999999994583831</v>
      </c>
      <c r="AN122" s="70">
        <f ca="1">Wwp+(Wfc-Wwp)*IF((AU122+AV122)&gt;0,(TEW-(AG122*AU122+AH122*AV122)/(AU122+AV122))/TEW,(TEW-(AG122+AH122)/2)/TEW)</f>
        <v>0.391985420239032</v>
      </c>
      <c r="AO122" s="70">
        <f ca="1">Wwp+(Wfc-Wwp)*(R122-AI122)/R122</f>
        <v>0.392050408058052</v>
      </c>
      <c r="AP122" s="70">
        <f ca="1">Wwp+(Wfc-Wwp)*(S122-AJ122)/S122</f>
        <v>0.399999999295898</v>
      </c>
      <c r="AQ122" s="70"/>
      <c r="AR122" s="70"/>
      <c r="AS122" s="70"/>
      <c r="AT122" s="70"/>
      <c r="AU122" s="70">
        <f ca="1">MIN((1-G122),fw)</f>
        <v>0.281333333333333</v>
      </c>
      <c r="AV122" s="70">
        <f ca="1" t="shared" si="16"/>
        <v>0</v>
      </c>
      <c r="AW122" s="70">
        <f ca="1">MIN((TEW-Y122)/(TEW-REW),1)</f>
        <v>0.120317234985049</v>
      </c>
      <c r="AX122" s="70">
        <f ca="1">MIN((TEW-Z122)/(TEW-REW),1)</f>
        <v>0.122852359720602</v>
      </c>
      <c r="AY122" s="70">
        <f ca="1">IF((AU122*(TEW-Y122))&gt;0,1/(1+((AV122*(TEW-Z122))/(AU122*(TEW-Y122)))),0)</f>
        <v>1</v>
      </c>
      <c r="AZ122" s="70">
        <f ca="1">MIN((AY122*AW122*(Kcmax-H122)),AU122*Kcmax)</f>
        <v>0.0408899339099373</v>
      </c>
      <c r="BA122" s="70">
        <f ca="1">MIN(((1-AY122)*AX122*(Kcmax-H122)),AV122*Kcmax)</f>
        <v>0</v>
      </c>
      <c r="BB122" s="70">
        <f ca="1" t="shared" si="17"/>
        <v>0.0183186903916519</v>
      </c>
      <c r="BC122" s="70">
        <f ca="1">MIN((R122-AA122)/(R122*(1-(p+0.04*(5-I121)))),1)</f>
        <v>1</v>
      </c>
      <c r="BD122" s="10">
        <f ca="1" t="shared" si="18"/>
        <v>0.362946747222638</v>
      </c>
      <c r="BE122" s="70">
        <f ca="1">MIN(IF((1-AA122/R122)&gt;0,(1-Y122/TEW)/(1-AA122/R122)*(Ze/P122)^0.6,0),1)*BC122*H122*B122</f>
        <v>0.165425211134628</v>
      </c>
      <c r="BF122" s="70">
        <f ca="1">MIN(IF((1-AA122/R122)&gt;0,(1-Z122/TEW)/(1-AA122/R122)*(Ze/P122)^0.6,0),1)*BC122*H122*B122</f>
        <v>0.168910776146854</v>
      </c>
      <c r="BH122" s="10">
        <f ca="1" t="shared" si="19"/>
        <v>0.0208118240217019</v>
      </c>
      <c r="BI122" s="10">
        <f ca="1">IF(F122&lt;&gt;"",(Moy_Etobs-F122)^2,"")</f>
        <v>1.88202777047707</v>
      </c>
    </row>
    <row r="123" spans="1:61">
      <c r="A123" s="38">
        <v>39116</v>
      </c>
      <c r="B123" s="10">
        <v>0.604</v>
      </c>
      <c r="C123" s="39">
        <v>0</v>
      </c>
      <c r="D123">
        <v>0.693</v>
      </c>
      <c r="E123" s="39">
        <v>0</v>
      </c>
      <c r="F123" s="10">
        <v>0.3481218</v>
      </c>
      <c r="G123" s="10">
        <f ca="1">MIN(MAX(IF(AND(Durpla&gt;ROW()-MATCH(NDVImax,INDEX(D:D,Lig_min,1):INDEX(D:D,Lig_max,1),0)-Lig_min+1,ROW()-MATCH(NDVImax,INDEX(D:D,Lig_min,1):INDEX(D:D,Lig_max,1),0)-Lig_min+1&gt;0,D123*a_fc+b_fc&gt;fc_fin),NDVImax*a_fc+b_fc,D123*a_fc+b_fc),0),1)</f>
        <v>0.724</v>
      </c>
      <c r="H123" s="55">
        <f>MIN(MAX(D123*a_kcb+b_kcb,0),Kcmax)</f>
        <v>0.816161226733916</v>
      </c>
      <c r="I123" s="70">
        <f ca="1" t="shared" si="11"/>
        <v>0.517043367728603</v>
      </c>
      <c r="O123" s="55"/>
      <c r="P123" s="35">
        <f ca="1">IF(ROW()-MATCH(NDVImax,INDEX(D:D,Lig_min,1):INDEX(D:D,Lig_max,1),0)-Lig_min+1&gt;0,MAX(MIN(Zr_min+MAX(INDEX(G:G,Lig_min,1):INDEX(G:G,Lig_max,1))/MAX(MAX(INDEX(G:G,Lig_min,1):INDEX(G:G,Lig_max,1)),Max_fc_pour_Zrmax)*(Zr_max-Zr_min),Zr_max),Ze+0.001),MAX(MIN(Zr_min+G123/MAX(MAX(INDEX(G:G,Lig_min,1):INDEX(G:G,Lig_max,1)),Max_fc_pour_Zrmax)*(Zr_max-Zr_min),Zr_max),Ze+0.001))</f>
        <v>465.682594455517</v>
      </c>
      <c r="Q123" s="35">
        <f ca="1">IF(Z_sol&gt;0,Z_sol-P123,0.1)</f>
        <v>148.191956608917</v>
      </c>
      <c r="R123" s="35">
        <f ca="1">(Wfc-Wwp)*P123</f>
        <v>60.5387372792172</v>
      </c>
      <c r="S123" s="35">
        <f ca="1">(Wfc-Wwp)*Q123</f>
        <v>19.2649543591593</v>
      </c>
      <c r="T123" s="99">
        <f ca="1" t="shared" si="20"/>
        <v>2.04217657370823</v>
      </c>
      <c r="U123" s="99">
        <f ca="1" t="shared" si="21"/>
        <v>1.32076521177461</v>
      </c>
      <c r="V123" s="99">
        <f ca="1">IF(P123&gt;P122,IF(Q123&gt;1,MAX(AI122+(Wfc-Wwp)*(P123-P122)*AJ122/S122,0),AI122/P122*P123),MAX(AI122+(Wfc-Wwp)*(P123-P122)*AI122/R122,0))</f>
        <v>3.68203604887699</v>
      </c>
      <c r="W123" s="99">
        <f ca="1">IF(S123&gt;1,IF(P123&gt;P122,MAX(AJ122-(Wfc-Wwp)*(P123-P122)*AJ122/S122,0),MAX(AJ122-(Wfc-Wwp)*(P123-P122)*AI122/R122,0)),0)</f>
        <v>1.04342252460624e-7</v>
      </c>
      <c r="X123" s="99">
        <f ca="1">IF(AND(OR(AND(dec_vide_TAW&lt;0,V123&gt;R123*(p+0.04*(5-I122))),AND(dec_vide_TAW&gt;0,V123&gt;R123*dec_vide_TAW)),H123&gt;MAX(INDEX(H:H,Lig_min,1):INDEX(H:H,ROW(X123),1))*Kcbmax_stop_irrig*IF(ROW(X123)-lig_kcbmax&gt;0,1,0),MIN(INDEX(H:H,ROW(X123),1):INDEX(H:H,lig_kcbmax,1))&gt;Kcbmin_start_irrig),MIN(MAX(V123-E123*Irri_man-C123,0),Lame_max),0)</f>
        <v>0</v>
      </c>
      <c r="Y123" s="99">
        <f ca="1">MIN(MAX(T123-C123-IF(fw&gt;0,X123/fw*Irri_auto+E123/fw*Irri_man,0),0),TEW)</f>
        <v>2.04217657370823</v>
      </c>
      <c r="Z123" s="99">
        <f ca="1">MIN(MAX(U123-C123,0),TEW)</f>
        <v>1.32076521177461</v>
      </c>
      <c r="AA123" s="99">
        <f ca="1">MIN(MAX(V123-C123-(X123*Irri_auto+E123*Irri_man),0),R123)</f>
        <v>3.68203604887699</v>
      </c>
      <c r="AB123" s="99">
        <f ca="1">MIN(MAX(W123+MIN(V123-C123-(X123*Irri_auto+E123*Irri_man),0),0),S123)</f>
        <v>1.04342252460624e-7</v>
      </c>
      <c r="AC123" s="99">
        <f ca="1">-MIN(W123+MIN(V123-C123-(X123*Irri_auto+E123*Irri_man),0),0)</f>
        <v>0</v>
      </c>
      <c r="AD123" s="39">
        <f ca="1">IF(((R123-AA123)/P123-((Wfc-Wwp)*Ze-Y123)/Ze)/Wfc*DiffE&lt;0,MAX(((R123-AA123)/P123-((Wfc-Wwp)*Ze-Y123)/Ze)/Wfc*DiffE,(R123*Ze-((Wfc-Wwp)*Ze-Y123-AA123)*P123)/(P123+Ze)-AA123),MIN(((R123-AA123)/P123-((Wfc-Wwp)*Ze-Y123)/Ze)/Wfc*DiffE,(R123*Ze-((Wfc-Wwp)*Ze-Y123-AA123)*P123)/(P123+Ze)-AA123))</f>
        <v>2.10766554264239e-8</v>
      </c>
      <c r="AE123" s="39">
        <f ca="1">IF(((R123-AA123)/P123-((Wfc-Wwp)*Ze-Z123)/Ze)/Wfc*DiffE&lt;0,MAX(((R123-AA123)/P123-((Wfc-Wwp)*Ze-Z123)/Ze)/Wfc*DiffE,(R123*Ze-((Wfc-Wwp)*Ze-Z123-AA123)*P123)/(P123+Ze)-AA123),MIN(((R123-AA123)/P123-((Wfc-Wwp)*Ze-Z123)/Ze)/Wfc*DiffE,(R123*Ze-((Wfc-Wwp)*Ze-Z123-AA123)*P123)/(P123+Ze)-AA123))</f>
        <v>6.64842818775154e-9</v>
      </c>
      <c r="AF123" s="39">
        <f ca="1">IF(((S123-AB123)/Q123-(R123-AA123)/P123)/Wfc*DiffR&lt;0,MAX(((S123-AB123)/Q123-(R123-AA123)/P123)/Wfc*DiffR,(S123*P123-(R123-AA123-AB123)*Q123)/(P123+Q123)-AB123),MIN(((S123-AB123)/Q123-(R123-AA123)/P123)/Wfc*DiffR,(S123*P123-(R123-AA123-AB123)*Q123)/(P123+Q123)-AB123))</f>
        <v>1.97668742874857e-8</v>
      </c>
      <c r="AG123" s="99">
        <f ca="1">MIN(MAX(Y123+IF(AU123&gt;0,B123*AZ123/AU123,0)+BE123-AD123,0),TEW)</f>
        <v>2.35315855825703</v>
      </c>
      <c r="AH123" s="99">
        <f ca="1">MIN(MAX(Z123+IF(AV123&gt;0,B123*BA123/AV123,0)+BF123-AE123,0),TEW)</f>
        <v>1.5496862213883</v>
      </c>
      <c r="AI123" s="99">
        <f ca="1" t="shared" si="12"/>
        <v>4.19907939683872</v>
      </c>
      <c r="AJ123" s="99">
        <f ca="1" t="shared" si="13"/>
        <v>1.2410912674811e-7</v>
      </c>
      <c r="AK123" s="70">
        <f ca="1">IF((AU123+AV123)&gt;0,(TEW-(AG123*AU123+AH123*AV123)/(AU123+AV123))/TEW,(TEW-(AG123+AH123)/2)/TEW)</f>
        <v>0.928961251071486</v>
      </c>
      <c r="AL123" s="70">
        <f ca="1" t="shared" si="14"/>
        <v>0.930638140378256</v>
      </c>
      <c r="AM123" s="70">
        <f ca="1" t="shared" si="15"/>
        <v>0.999999993557777</v>
      </c>
      <c r="AN123" s="70">
        <f ca="1">Wwp+(Wfc-Wwp)*IF((AU123+AV123)&gt;0,(TEW-(AG123*AU123+AH123*AV123)/(AU123+AV123))/TEW,(TEW-(AG123+AH123)/2)/TEW)</f>
        <v>0.390764962639293</v>
      </c>
      <c r="AO123" s="70">
        <f ca="1">Wwp+(Wfc-Wwp)*(R123-AI123)/R123</f>
        <v>0.390982958249173</v>
      </c>
      <c r="AP123" s="70">
        <f ca="1">Wwp+(Wfc-Wwp)*(S123-AJ123)/S123</f>
        <v>0.399999999162511</v>
      </c>
      <c r="AQ123" s="70"/>
      <c r="AR123" s="70"/>
      <c r="AS123" s="70"/>
      <c r="AT123" s="70"/>
      <c r="AU123" s="70">
        <f ca="1">MIN((1-G123),fw)</f>
        <v>0.276</v>
      </c>
      <c r="AV123" s="70">
        <f ca="1" t="shared" si="16"/>
        <v>0</v>
      </c>
      <c r="AW123" s="70">
        <f ca="1">MIN((TEW-Y123)/(TEW-REW),1)</f>
        <v>0.119431420897711</v>
      </c>
      <c r="AX123" s="70">
        <f ca="1">MIN((TEW-Z123)/(TEW-REW),1)</f>
        <v>0.122203343603246</v>
      </c>
      <c r="AY123" s="70">
        <f ca="1">IF((AU123*(TEW-Y123))&gt;0,1/(1+((AV123*(TEW-Z123))/(AU123*(TEW-Y123)))),0)</f>
        <v>1</v>
      </c>
      <c r="AZ123" s="70">
        <f ca="1">MIN((AY123*AW123*(Kcmax-H123)),AU123*Kcmax)</f>
        <v>0.0398708390419171</v>
      </c>
      <c r="BA123" s="70">
        <f ca="1">MIN(((1-AY123)*AX123*(Kcmax-H123)),AV123*Kcmax)</f>
        <v>0</v>
      </c>
      <c r="BB123" s="70">
        <f ca="1" t="shared" si="17"/>
        <v>0.024081986781318</v>
      </c>
      <c r="BC123" s="70">
        <f ca="1">MIN((R123-AA123)/(R123*(1-(p+0.04*(5-I122)))),1)</f>
        <v>1</v>
      </c>
      <c r="BD123" s="10">
        <f ca="1" t="shared" si="18"/>
        <v>0.492961380947285</v>
      </c>
      <c r="BE123" s="70">
        <f ca="1">MIN(IF((1-AA123/R123)&gt;0,(1-Y123/TEW)/(1-AA123/R123)*(Ze/P123)^0.6,0),1)*BC123*H123*B123</f>
        <v>0.223728430330824</v>
      </c>
      <c r="BF123" s="70">
        <f ca="1">MIN(IF((1-AA123/R123)&gt;0,(1-Z123/TEW)/(1-AA123/R123)*(Ze/P123)^0.6,0),1)*BC123*H123*B123</f>
        <v>0.228921016262117</v>
      </c>
      <c r="BH123" s="10">
        <f ca="1" t="shared" si="19"/>
        <v>0.0285344960438891</v>
      </c>
      <c r="BI123" s="10">
        <f ca="1">IF(F123&lt;&gt;"",(Moy_Etobs-F123)^2,"")</f>
        <v>1.5894925106184</v>
      </c>
    </row>
    <row r="124" spans="1:61">
      <c r="A124" s="38">
        <v>39117</v>
      </c>
      <c r="B124" s="10">
        <v>0.685</v>
      </c>
      <c r="C124" s="39">
        <v>0.198</v>
      </c>
      <c r="D124">
        <v>0.696</v>
      </c>
      <c r="E124" s="39">
        <v>0</v>
      </c>
      <c r="F124" s="10">
        <v>0.511461</v>
      </c>
      <c r="G124" s="10">
        <f ca="1">MIN(MAX(IF(AND(Durpla&gt;ROW()-MATCH(NDVImax,INDEX(D:D,Lig_min,1):INDEX(D:D,Lig_max,1),0)-Lig_min+1,ROW()-MATCH(NDVImax,INDEX(D:D,Lig_min,1):INDEX(D:D,Lig_max,1),0)-Lig_min+1&gt;0,D124*a_fc+b_fc&gt;fc_fin),NDVImax*a_fc+b_fc,D124*a_fc+b_fc),0),1)</f>
        <v>0.728</v>
      </c>
      <c r="H124" s="55">
        <f>MIN(MAX(D124*a_kcb+b_kcb,0),Kcmax)</f>
        <v>0.82067040478217</v>
      </c>
      <c r="I124" s="70">
        <f ca="1" t="shared" si="11"/>
        <v>0.589003920891563</v>
      </c>
      <c r="O124" s="55"/>
      <c r="P124" s="35">
        <f ca="1">IF(ROW()-MATCH(NDVImax,INDEX(D:D,Lig_min,1):INDEX(D:D,Lig_max,1),0)-Lig_min+1&gt;0,MAX(MIN(Zr_min+MAX(INDEX(G:G,Lig_min,1):INDEX(G:G,Lig_max,1))/MAX(MAX(INDEX(G:G,Lig_min,1):INDEX(G:G,Lig_max,1)),Max_fc_pour_Zrmax)*(Zr_max-Zr_min),Zr_max),Ze+0.001),MAX(MIN(Zr_min+G124/MAX(MAX(INDEX(G:G,Lig_min,1):INDEX(G:G,Lig_max,1)),Max_fc_pour_Zrmax)*(Zr_max-Zr_min),Zr_max),Ze+0.001))</f>
        <v>467.564818734276</v>
      </c>
      <c r="Q124" s="35">
        <f ca="1">IF(Z_sol&gt;0,Z_sol-P124,0.1)</f>
        <v>146.309732330158</v>
      </c>
      <c r="R124" s="35">
        <f ca="1">(Wfc-Wwp)*P124</f>
        <v>60.7834264354559</v>
      </c>
      <c r="S124" s="35">
        <f ca="1">(Wfc-Wwp)*Q124</f>
        <v>19.0202652029205</v>
      </c>
      <c r="T124" s="99">
        <f ca="1" t="shared" si="20"/>
        <v>2.35315855825703</v>
      </c>
      <c r="U124" s="99">
        <f ca="1" t="shared" si="21"/>
        <v>1.5496862213883</v>
      </c>
      <c r="V124" s="99">
        <f ca="1">IF(P124&gt;P123,IF(Q124&gt;1,MAX(AI123+(Wfc-Wwp)*(P124-P123)*AJ123/S123,0),AI123/P123*P124),MAX(AI123+(Wfc-Wwp)*(P124-P123)*AI123/R123,0))</f>
        <v>4.19907939841506</v>
      </c>
      <c r="W124" s="99">
        <f ca="1">IF(S124&gt;1,IF(P124&gt;P123,MAX(AJ123-(Wfc-Wwp)*(P124-P123)*AJ123/S123,0),MAX(AJ123-(Wfc-Wwp)*(P124-P123)*AI123/R123,0)),0)</f>
        <v>1.22532784705488e-7</v>
      </c>
      <c r="X124" s="99">
        <f ca="1">IF(AND(OR(AND(dec_vide_TAW&lt;0,V124&gt;R124*(p+0.04*(5-I123))),AND(dec_vide_TAW&gt;0,V124&gt;R124*dec_vide_TAW)),H124&gt;MAX(INDEX(H:H,Lig_min,1):INDEX(H:H,ROW(X124),1))*Kcbmax_stop_irrig*IF(ROW(X124)-lig_kcbmax&gt;0,1,0),MIN(INDEX(H:H,ROW(X124),1):INDEX(H:H,lig_kcbmax,1))&gt;Kcbmin_start_irrig),MIN(MAX(V124-E124*Irri_man-C124,0),Lame_max),0)</f>
        <v>0</v>
      </c>
      <c r="Y124" s="99">
        <f ca="1">MIN(MAX(T124-C124-IF(fw&gt;0,X124/fw*Irri_auto+E124/fw*Irri_man,0),0),TEW)</f>
        <v>2.15515855825703</v>
      </c>
      <c r="Z124" s="99">
        <f ca="1">MIN(MAX(U124-C124,0),TEW)</f>
        <v>1.3516862213883</v>
      </c>
      <c r="AA124" s="99">
        <f ca="1">MIN(MAX(V124-C124-(X124*Irri_auto+E124*Irri_man),0),R124)</f>
        <v>4.00107939841506</v>
      </c>
      <c r="AB124" s="99">
        <f ca="1">MIN(MAX(W124+MIN(V124-C124-(X124*Irri_auto+E124*Irri_man),0),0),S124)</f>
        <v>1.22532784705488e-7</v>
      </c>
      <c r="AC124" s="99">
        <f ca="1">-MIN(W124+MIN(V124-C124-(X124*Irri_auto+E124*Irri_man),0),0)</f>
        <v>0</v>
      </c>
      <c r="AD124" s="39">
        <f ca="1">IF(((R124-AA124)/P124-((Wfc-Wwp)*Ze-Y124)/Ze)/Wfc*DiffE&lt;0,MAX(((R124-AA124)/P124-((Wfc-Wwp)*Ze-Y124)/Ze)/Wfc*DiffE,(R124*Ze-((Wfc-Wwp)*Ze-Y124-AA124)*P124)/(P124+Ze)-AA124),MIN(((R124-AA124)/P124-((Wfc-Wwp)*Ze-Y124)/Ze)/Wfc*DiffE,(R124*Ze-((Wfc-Wwp)*Ze-Y124-AA124)*P124)/(P124+Ze)-AA124))</f>
        <v>2.17099908075689e-8</v>
      </c>
      <c r="AE124" s="39">
        <f ca="1">IF(((R124-AA124)/P124-((Wfc-Wwp)*Ze-Z124)/Ze)/Wfc*DiffE&lt;0,MAX(((R124-AA124)/P124-((Wfc-Wwp)*Ze-Z124)/Ze)/Wfc*DiffE,(R124*Ze-((Wfc-Wwp)*Ze-Z124-AA124)*P124)/(P124+Ze)-AA124),MIN(((R124-AA124)/P124-((Wfc-Wwp)*Ze-Z124)/Ze)/Wfc*DiffE,(R124*Ze-((Wfc-Wwp)*Ze-Z124-AA124)*P124)/(P124+Ze)-AA124))</f>
        <v>5.6405440701944e-9</v>
      </c>
      <c r="AF124" s="39">
        <f ca="1">IF(((S124-AB124)/Q124-(R124-AA124)/P124)/Wfc*DiffR&lt;0,MAX(((S124-AB124)/Q124-(R124-AA124)/P124)/Wfc*DiffR,(S124*P124-(R124-AA124-AB124)*Q124)/(P124+Q124)-AB124),MIN(((S124-AB124)/Q124-(R124-AA124)/P124)/Wfc*DiffR,(S124*P124-(R124-AA124-AB124)*Q124)/(P124+Q124)-AB124))</f>
        <v>2.13931782638492e-8</v>
      </c>
      <c r="AG124" s="99">
        <f ca="1">MIN(MAX(Y124+IF(AU124&gt;0,B124*AZ124/AU124,0)+BE124-AD124,0),TEW)</f>
        <v>2.50880236462456</v>
      </c>
      <c r="AH124" s="99">
        <f ca="1">MIN(MAX(Z124+IF(AV124&gt;0,B124*BA124/AV124,0)+BF124-AE124,0),TEW)</f>
        <v>1.61325066675217</v>
      </c>
      <c r="AI124" s="99">
        <f ca="1" t="shared" si="12"/>
        <v>4.59008329791345</v>
      </c>
      <c r="AJ124" s="99">
        <f ca="1" t="shared" si="13"/>
        <v>1.43925962969337e-7</v>
      </c>
      <c r="AK124" s="70">
        <f ca="1">IF((AU124+AV124)&gt;0,(TEW-(AG124*AU124+AH124*AV124)/(AU124+AV124))/TEW,(TEW-(AG124+AH124)/2)/TEW)</f>
        <v>0.924262570124541</v>
      </c>
      <c r="AL124" s="70">
        <f ca="1" t="shared" si="14"/>
        <v>0.924484624064629</v>
      </c>
      <c r="AM124" s="70">
        <f ca="1" t="shared" si="15"/>
        <v>0.99999999243302</v>
      </c>
      <c r="AN124" s="70">
        <f ca="1">Wwp+(Wfc-Wwp)*IF((AU124+AV124)&gt;0,(TEW-(AG124*AU124+AH124*AV124)/(AU124+AV124))/TEW,(TEW-(AG124+AH124)/2)/TEW)</f>
        <v>0.39015413411619</v>
      </c>
      <c r="AO124" s="70">
        <f ca="1">Wwp+(Wfc-Wwp)*(R124-AI124)/R124</f>
        <v>0.390183001128402</v>
      </c>
      <c r="AP124" s="70">
        <f ca="1">Wwp+(Wfc-Wwp)*(S124-AJ124)/S124</f>
        <v>0.399999999016293</v>
      </c>
      <c r="AQ124" s="70"/>
      <c r="AR124" s="70"/>
      <c r="AS124" s="70"/>
      <c r="AT124" s="70"/>
      <c r="AU124" s="70">
        <f ca="1">MIN((1-G124),fw)</f>
        <v>0.272</v>
      </c>
      <c r="AV124" s="70">
        <f ca="1" t="shared" si="16"/>
        <v>0</v>
      </c>
      <c r="AW124" s="70">
        <f ca="1">MIN((TEW-Y124)/(TEW-REW),1)</f>
        <v>0.118997303354222</v>
      </c>
      <c r="AX124" s="70">
        <f ca="1">MIN((TEW-Z124)/(TEW-REW),1)</f>
        <v>0.122084533929392</v>
      </c>
      <c r="AY124" s="70">
        <f ca="1">IF((AU124*(TEW-Y124))&gt;0,1/(1+((AV124*(TEW-Z124))/(AU124*(TEW-Y124)))),0)</f>
        <v>1</v>
      </c>
      <c r="AZ124" s="70">
        <f ca="1">MIN((AY124*AW124*(Kcmax-H124)),AU124*Kcmax)</f>
        <v>0.0391893337456594</v>
      </c>
      <c r="BA124" s="70">
        <f ca="1">MIN(((1-AY124)*AX124*(Kcmax-H124)),AV124*Kcmax)</f>
        <v>0</v>
      </c>
      <c r="BB124" s="70">
        <f ca="1" t="shared" si="17"/>
        <v>0.0268446936157767</v>
      </c>
      <c r="BC124" s="70">
        <f ca="1">MIN((R124-AA124)/(R124*(1-(p+0.04*(5-I123)))),1)</f>
        <v>1</v>
      </c>
      <c r="BD124" s="10">
        <f ca="1" t="shared" si="18"/>
        <v>0.562159227275786</v>
      </c>
      <c r="BE124" s="70">
        <f ca="1">MIN(IF((1-AA124/R124)&gt;0,(1-Y124/TEW)/(1-AA124/R124)*(Ze/P124)^0.6,0),1)*BC124*H124*B124</f>
        <v>0.254950101548933</v>
      </c>
      <c r="BF124" s="70">
        <f ca="1">MIN(IF((1-AA124/R124)&gt;0,(1-Z124/TEW)/(1-AA124/R124)*(Ze/P124)^0.6,0),1)*BC124*H124*B124</f>
        <v>0.261564451004412</v>
      </c>
      <c r="BH124" s="10">
        <f ca="1" t="shared" si="19"/>
        <v>0.00601290458039518</v>
      </c>
      <c r="BI124" s="10">
        <f ca="1">IF(F124&lt;&gt;"",(Moy_Etobs-F124)^2,"")</f>
        <v>1.20431215968242</v>
      </c>
    </row>
    <row r="125" spans="1:61">
      <c r="A125" s="38">
        <v>39118</v>
      </c>
      <c r="B125" s="10">
        <v>0.711</v>
      </c>
      <c r="C125" s="39">
        <v>1.584</v>
      </c>
      <c r="D125">
        <v>0.699</v>
      </c>
      <c r="E125" s="39">
        <v>0</v>
      </c>
      <c r="F125" s="10">
        <v>0.6366078</v>
      </c>
      <c r="G125" s="10">
        <f ca="1">MIN(MAX(IF(AND(Durpla&gt;ROW()-MATCH(NDVImax,INDEX(D:D,Lig_min,1):INDEX(D:D,Lig_max,1),0)-Lig_min+1,ROW()-MATCH(NDVImax,INDEX(D:D,Lig_min,1):INDEX(D:D,Lig_max,1),0)-Lig_min+1&gt;0,D125*a_fc+b_fc&gt;fc_fin),NDVImax*a_fc+b_fc,D125*a_fc+b_fc),0),1)</f>
        <v>0.732</v>
      </c>
      <c r="H125" s="55">
        <f>MIN(MAX(D125*a_kcb+b_kcb,0),Kcmax)</f>
        <v>0.825179582830423</v>
      </c>
      <c r="I125" s="70">
        <f ca="1" t="shared" si="11"/>
        <v>0.615276588339998</v>
      </c>
      <c r="O125" s="55"/>
      <c r="P125" s="35">
        <f ca="1">IF(ROW()-MATCH(NDVImax,INDEX(D:D,Lig_min,1):INDEX(D:D,Lig_max,1),0)-Lig_min+1&gt;0,MAX(MIN(Zr_min+MAX(INDEX(G:G,Lig_min,1):INDEX(G:G,Lig_max,1))/MAX(MAX(INDEX(G:G,Lig_min,1):INDEX(G:G,Lig_max,1)),Max_fc_pour_Zrmax)*(Zr_max-Zr_min),Zr_max),Ze+0.001),MAX(MIN(Zr_min+G125/MAX(MAX(INDEX(G:G,Lig_min,1):INDEX(G:G,Lig_max,1)),Max_fc_pour_Zrmax)*(Zr_max-Zr_min),Zr_max),Ze+0.001))</f>
        <v>469.447043013036</v>
      </c>
      <c r="Q125" s="35">
        <f ca="1">IF(Z_sol&gt;0,Z_sol-P125,0.1)</f>
        <v>144.427508051398</v>
      </c>
      <c r="R125" s="35">
        <f ca="1">(Wfc-Wwp)*P125</f>
        <v>61.0281155916947</v>
      </c>
      <c r="S125" s="35">
        <f ca="1">(Wfc-Wwp)*Q125</f>
        <v>18.7755760466817</v>
      </c>
      <c r="T125" s="99">
        <f ca="1" t="shared" si="20"/>
        <v>2.50880236462456</v>
      </c>
      <c r="U125" s="99">
        <f ca="1" t="shared" si="21"/>
        <v>1.61325066675217</v>
      </c>
      <c r="V125" s="99">
        <f ca="1">IF(P125&gt;P124,IF(Q125&gt;1,MAX(AI124+(Wfc-Wwp)*(P125-P124)*AJ124/S124,0),AI124/P124*P125),MAX(AI124+(Wfc-Wwp)*(P125-P124)*AI124/R124,0))</f>
        <v>4.59008329976501</v>
      </c>
      <c r="W125" s="99">
        <f ca="1">IF(S125&gt;1,IF(P125&gt;P124,MAX(AJ124-(Wfc-Wwp)*(P125-P124)*AJ124/S124,0),MAX(AJ124-(Wfc-Wwp)*(P125-P124)*AI124/R124,0)),0)</f>
        <v>1.42074405061806e-7</v>
      </c>
      <c r="X125" s="99">
        <f ca="1">IF(AND(OR(AND(dec_vide_TAW&lt;0,V125&gt;R125*(p+0.04*(5-I124))),AND(dec_vide_TAW&gt;0,V125&gt;R125*dec_vide_TAW)),H125&gt;MAX(INDEX(H:H,Lig_min,1):INDEX(H:H,ROW(X125),1))*Kcbmax_stop_irrig*IF(ROW(X125)-lig_kcbmax&gt;0,1,0),MIN(INDEX(H:H,ROW(X125),1):INDEX(H:H,lig_kcbmax,1))&gt;Kcbmin_start_irrig),MIN(MAX(V125-E125*Irri_man-C125,0),Lame_max),0)</f>
        <v>0</v>
      </c>
      <c r="Y125" s="99">
        <f ca="1">MIN(MAX(T125-C125-IF(fw&gt;0,X125/fw*Irri_auto+E125/fw*Irri_man,0),0),TEW)</f>
        <v>0.924802364624563</v>
      </c>
      <c r="Z125" s="99">
        <f ca="1">MIN(MAX(U125-C125,0),TEW)</f>
        <v>0.0292506667521677</v>
      </c>
      <c r="AA125" s="99">
        <f ca="1">MIN(MAX(V125-C125-(X125*Irri_auto+E125*Irri_man),0),R125)</f>
        <v>3.00608329976501</v>
      </c>
      <c r="AB125" s="99">
        <f ca="1">MIN(MAX(W125+MIN(V125-C125-(X125*Irri_auto+E125*Irri_man),0),0),S125)</f>
        <v>1.42074405061806e-7</v>
      </c>
      <c r="AC125" s="99">
        <f ca="1">-MIN(W125+MIN(V125-C125-(X125*Irri_auto+E125*Irri_man),0),0)</f>
        <v>0</v>
      </c>
      <c r="AD125" s="39">
        <f ca="1">IF(((R125-AA125)/P125-((Wfc-Wwp)*Ze-Y125)/Ze)/Wfc*DiffE&lt;0,MAX(((R125-AA125)/P125-((Wfc-Wwp)*Ze-Y125)/Ze)/Wfc*DiffE,(R125*Ze-((Wfc-Wwp)*Ze-Y125-AA125)*P125)/(P125+Ze)-AA125),MIN(((R125-AA125)/P125-((Wfc-Wwp)*Ze-Y125)/Ze)/Wfc*DiffE,(R125*Ze-((Wfc-Wwp)*Ze-Y125-AA125)*P125)/(P125+Ze)-AA125))</f>
        <v>2.48740827502533e-9</v>
      </c>
      <c r="AE125" s="39">
        <f ca="1">IF(((R125-AA125)/P125-((Wfc-Wwp)*Ze-Z125)/Ze)/Wfc*DiffE&lt;0,MAX(((R125-AA125)/P125-((Wfc-Wwp)*Ze-Z125)/Ze)/Wfc*DiffE,(R125*Ze-((Wfc-Wwp)*Ze-Z125-AA125)*P125)/(P125+Ze)-AA125),MIN(((R125-AA125)/P125-((Wfc-Wwp)*Ze-Z125)/Ze)/Wfc*DiffE,(R125*Ze-((Wfc-Wwp)*Ze-Z125-AA125)*P125)/(P125+Ze)-AA125))</f>
        <v>-1.54236256824226e-8</v>
      </c>
      <c r="AF125" s="39">
        <f ca="1">IF(((S125-AB125)/Q125-(R125-AA125)/P125)/Wfc*DiffR&lt;0,MAX(((S125-AB125)/Q125-(R125-AA125)/P125)/Wfc*DiffR,(S125*P125-(R125-AA125-AB125)*Q125)/(P125+Q125)-AB125),MIN(((S125-AB125)/Q125-(R125-AA125)/P125)/Wfc*DiffR,(S125*P125-(R125-AA125-AB125)*Q125)/(P125+Q125)-AB125))</f>
        <v>1.60086365581975e-8</v>
      </c>
      <c r="AG125" s="99">
        <f ca="1">MIN(MAX(Y125+IF(AU125&gt;0,B125*AZ125/AU125,0)+BE125-AD125,0),TEW)</f>
        <v>1.30259774846973</v>
      </c>
      <c r="AH125" s="99">
        <f ca="1">MIN(MAX(Z125+IF(AV125&gt;0,B125*BA125/AV125,0)+BF125-AE125,0),TEW)</f>
        <v>0.307968974835696</v>
      </c>
      <c r="AI125" s="99">
        <f ca="1" t="shared" si="12"/>
        <v>3.62135987209637</v>
      </c>
      <c r="AJ125" s="99">
        <f ca="1" t="shared" si="13"/>
        <v>1.58083041620003e-7</v>
      </c>
      <c r="AK125" s="70">
        <f ca="1">IF((AU125+AV125)&gt;0,(TEW-(AG125*AU125+AH125*AV125)/(AU125+AV125))/TEW,(TEW-(AG125+AH125)/2)/TEW)</f>
        <v>0.960676294385819</v>
      </c>
      <c r="AL125" s="70">
        <f ca="1" t="shared" si="14"/>
        <v>0.940660794832256</v>
      </c>
      <c r="AM125" s="70">
        <f ca="1" t="shared" si="15"/>
        <v>0.999999991580389</v>
      </c>
      <c r="AN125" s="70">
        <f ca="1">Wwp+(Wfc-Wwp)*IF((AU125+AV125)&gt;0,(TEW-(AG125*AU125+AH125*AV125)/(AU125+AV125))/TEW,(TEW-(AG125+AH125)/2)/TEW)</f>
        <v>0.394887918270157</v>
      </c>
      <c r="AO125" s="70">
        <f ca="1">Wwp+(Wfc-Wwp)*(R125-AI125)/R125</f>
        <v>0.392285903328193</v>
      </c>
      <c r="AP125" s="70">
        <f ca="1">Wwp+(Wfc-Wwp)*(S125-AJ125)/S125</f>
        <v>0.399999998905451</v>
      </c>
      <c r="AQ125" s="70"/>
      <c r="AR125" s="70"/>
      <c r="AS125" s="70"/>
      <c r="AT125" s="70"/>
      <c r="AU125" s="70">
        <f ca="1">MIN((1-G125),fw)</f>
        <v>0.268</v>
      </c>
      <c r="AV125" s="70">
        <f ca="1" t="shared" si="16"/>
        <v>0</v>
      </c>
      <c r="AW125" s="70">
        <f ca="1">MIN((TEW-Y125)/(TEW-REW),1)</f>
        <v>0.1237247757077</v>
      </c>
      <c r="AX125" s="70">
        <f ca="1">MIN((TEW-Z125)/(TEW-REW),1)</f>
        <v>0.127165808405965</v>
      </c>
      <c r="AY125" s="70">
        <f ca="1">IF((AU125*(TEW-Y125))&gt;0,1/(1+((AV125*(TEW-Z125))/(AU125*(TEW-Y125)))),0)</f>
        <v>1</v>
      </c>
      <c r="AZ125" s="70">
        <f ca="1">MIN((AY125*AW125*(Kcmax-H125)),AU125*Kcmax)</f>
        <v>0.0401883332595875</v>
      </c>
      <c r="BA125" s="70">
        <f ca="1">MIN(((1-AY125)*AX125*(Kcmax-H125)),AV125*Kcmax)</f>
        <v>0</v>
      </c>
      <c r="BB125" s="70">
        <f ca="1" t="shared" si="17"/>
        <v>0.0285739049475667</v>
      </c>
      <c r="BC125" s="70">
        <f ca="1">MIN((R125-AA125)/(R125*(1-(p+0.04*(5-I124)))),1)</f>
        <v>1</v>
      </c>
      <c r="BD125" s="10">
        <f ca="1" t="shared" si="18"/>
        <v>0.586702683392431</v>
      </c>
      <c r="BE125" s="70">
        <f ca="1">MIN(IF((1-AA125/R125)&gt;0,(1-Y125/TEW)/(1-AA125/R125)*(Ze/P125)^0.6,0),1)*BC125*H125*B125</f>
        <v>0.271176338020764</v>
      </c>
      <c r="BF125" s="70">
        <f ca="1">MIN(IF((1-AA125/R125)&gt;0,(1-Z125/TEW)/(1-AA125/R125)*(Ze/P125)^0.6,0),1)*BC125*H125*B125</f>
        <v>0.278718292659903</v>
      </c>
      <c r="BH125" s="10">
        <f ca="1" t="shared" si="19"/>
        <v>0.000455020590883818</v>
      </c>
      <c r="BI125" s="10">
        <f ca="1">IF(F125&lt;&gt;"",(Moy_Etobs-F125)^2,"")</f>
        <v>0.945298788044256</v>
      </c>
    </row>
    <row r="126" spans="1:61">
      <c r="A126" s="38">
        <v>39119</v>
      </c>
      <c r="B126" s="10">
        <v>0.478</v>
      </c>
      <c r="C126" s="39">
        <v>3.762</v>
      </c>
      <c r="D126">
        <v>0.702</v>
      </c>
      <c r="E126" s="39">
        <v>0</v>
      </c>
      <c r="F126" s="10">
        <v>0.4308426</v>
      </c>
      <c r="G126" s="10">
        <f ca="1">MIN(MAX(IF(AND(Durpla&gt;ROW()-MATCH(NDVImax,INDEX(D:D,Lig_min,1):INDEX(D:D,Lig_max,1),0)-Lig_min+1,ROW()-MATCH(NDVImax,INDEX(D:D,Lig_min,1):INDEX(D:D,Lig_max,1),0)-Lig_min+1&gt;0,D126*a_fc+b_fc&gt;fc_fin),NDVImax*a_fc+b_fc,D126*a_fc+b_fc),0),1)</f>
        <v>0.736</v>
      </c>
      <c r="H126" s="55">
        <f>MIN(MAX(D126*a_kcb+b_kcb,0),Kcmax)</f>
        <v>0.829688760878677</v>
      </c>
      <c r="I126" s="70">
        <f ca="1" t="shared" si="11"/>
        <v>0.416078636645617</v>
      </c>
      <c r="O126" s="55"/>
      <c r="P126" s="35">
        <f ca="1">IF(ROW()-MATCH(NDVImax,INDEX(D:D,Lig_min,1):INDEX(D:D,Lig_max,1),0)-Lig_min+1&gt;0,MAX(MIN(Zr_min+MAX(INDEX(G:G,Lig_min,1):INDEX(G:G,Lig_max,1))/MAX(MAX(INDEX(G:G,Lig_min,1):INDEX(G:G,Lig_max,1)),Max_fc_pour_Zrmax)*(Zr_max-Zr_min),Zr_max),Ze+0.001),MAX(MIN(Zr_min+G126/MAX(MAX(INDEX(G:G,Lig_min,1):INDEX(G:G,Lig_max,1)),Max_fc_pour_Zrmax)*(Zr_max-Zr_min),Zr_max),Ze+0.001))</f>
        <v>471.329267291796</v>
      </c>
      <c r="Q126" s="35">
        <f ca="1">IF(Z_sol&gt;0,Z_sol-P126,0.1)</f>
        <v>142.545283772638</v>
      </c>
      <c r="R126" s="35">
        <f ca="1">(Wfc-Wwp)*P126</f>
        <v>61.2728047479335</v>
      </c>
      <c r="S126" s="35">
        <f ca="1">(Wfc-Wwp)*Q126</f>
        <v>18.530886890443</v>
      </c>
      <c r="T126" s="99">
        <f ca="1" t="shared" si="20"/>
        <v>1.30259774846973</v>
      </c>
      <c r="U126" s="99">
        <f ca="1" t="shared" si="21"/>
        <v>0.307968974835696</v>
      </c>
      <c r="V126" s="99">
        <f ca="1">IF(P126&gt;P125,IF(Q126&gt;1,MAX(AI125+(Wfc-Wwp)*(P126-P125)*AJ125/S125,0),AI125/P125*P126),MAX(AI125+(Wfc-Wwp)*(P126-P125)*AI125/R125,0))</f>
        <v>3.62135987415655</v>
      </c>
      <c r="W126" s="99">
        <f ca="1">IF(S126&gt;1,IF(P126&gt;P125,MAX(AJ125-(Wfc-Wwp)*(P126-P125)*AJ125/S125,0),MAX(AJ125-(Wfc-Wwp)*(P126-P125)*AI125/R125,0)),0)</f>
        <v>1.56022854173637e-7</v>
      </c>
      <c r="X126" s="99">
        <f ca="1">IF(AND(OR(AND(dec_vide_TAW&lt;0,V126&gt;R126*(p+0.04*(5-I125))),AND(dec_vide_TAW&gt;0,V126&gt;R126*dec_vide_TAW)),H126&gt;MAX(INDEX(H:H,Lig_min,1):INDEX(H:H,ROW(X126),1))*Kcbmax_stop_irrig*IF(ROW(X126)-lig_kcbmax&gt;0,1,0),MIN(INDEX(H:H,ROW(X126),1):INDEX(H:H,lig_kcbmax,1))&gt;Kcbmin_start_irrig),MIN(MAX(V126-E126*Irri_man-C126,0),Lame_max),0)</f>
        <v>0</v>
      </c>
      <c r="Y126" s="99">
        <f ca="1">MIN(MAX(T126-C126-IF(fw&gt;0,X126/fw*Irri_auto+E126/fw*Irri_man,0),0),TEW)</f>
        <v>0</v>
      </c>
      <c r="Z126" s="99">
        <f ca="1">MIN(MAX(U126-C126,0),TEW)</f>
        <v>0</v>
      </c>
      <c r="AA126" s="99">
        <f ca="1">MIN(MAX(V126-C126-(X126*Irri_auto+E126*Irri_man),0),R126)</f>
        <v>0</v>
      </c>
      <c r="AB126" s="99">
        <f ca="1">MIN(MAX(W126+MIN(V126-C126-(X126*Irri_auto+E126*Irri_man),0),0),S126)</f>
        <v>0</v>
      </c>
      <c r="AC126" s="99">
        <f ca="1">-MIN(W126+MIN(V126-C126-(X126*Irri_auto+E126*Irri_man),0),0)</f>
        <v>0.140639969820592</v>
      </c>
      <c r="AD126" s="39">
        <f ca="1">IF(((R126-AA126)/P126-((Wfc-Wwp)*Ze-Y126)/Ze)/Wfc*DiffE&lt;0,MAX(((R126-AA126)/P126-((Wfc-Wwp)*Ze-Y126)/Ze)/Wfc*DiffE,(R126*Ze-((Wfc-Wwp)*Ze-Y126-AA126)*P126)/(P126+Ze)-AA126),MIN(((R126-AA126)/P126-((Wfc-Wwp)*Ze-Y126)/Ze)/Wfc*DiffE,(R126*Ze-((Wfc-Wwp)*Ze-Y126-AA126)*P126)/(P126+Ze)-AA126))</f>
        <v>0</v>
      </c>
      <c r="AE126" s="39">
        <f ca="1">IF(((R126-AA126)/P126-((Wfc-Wwp)*Ze-Z126)/Ze)/Wfc*DiffE&lt;0,MAX(((R126-AA126)/P126-((Wfc-Wwp)*Ze-Z126)/Ze)/Wfc*DiffE,(R126*Ze-((Wfc-Wwp)*Ze-Z126-AA126)*P126)/(P126+Ze)-AA126),MIN(((R126-AA126)/P126-((Wfc-Wwp)*Ze-Z126)/Ze)/Wfc*DiffE,(R126*Ze-((Wfc-Wwp)*Ze-Z126-AA126)*P126)/(P126+Ze)-AA126))</f>
        <v>0</v>
      </c>
      <c r="AF126" s="39">
        <f ca="1">IF(((S126-AB126)/Q126-(R126-AA126)/P126)/Wfc*DiffR&lt;0,MAX(((S126-AB126)/Q126-(R126-AA126)/P126)/Wfc*DiffR,(S126*P126-(R126-AA126-AB126)*Q126)/(P126+Q126)-AB126),MIN(((S126-AB126)/Q126-(R126-AA126)/P126)/Wfc*DiffR,(S126*P126-(R126-AA126-AB126)*Q126)/(P126+Q126)-AB126))</f>
        <v>0</v>
      </c>
      <c r="AG126" s="99">
        <f ca="1">MIN(MAX(Y126+IF(AU126&gt;0,B126*AZ126/AU126,0)+BE126-AD126,0),TEW)</f>
        <v>0.252668217088547</v>
      </c>
      <c r="AH126" s="99">
        <f ca="1">MIN(MAX(Z126+IF(AV126&gt;0,B126*BA126/AV126,0)+BF126-AE126,0),TEW)</f>
        <v>0.178852274112755</v>
      </c>
      <c r="AI126" s="99">
        <f ca="1" t="shared" si="12"/>
        <v>0.416078636645617</v>
      </c>
      <c r="AJ126" s="99">
        <f ca="1" t="shared" si="13"/>
        <v>0</v>
      </c>
      <c r="AK126" s="70">
        <f ca="1">IF((AU126+AV126)&gt;0,(TEW-(AG126*AU126+AH126*AV126)/(AU126+AV126))/TEW,(TEW-(AG126+AH126)/2)/TEW)</f>
        <v>0.992372280238836</v>
      </c>
      <c r="AL126" s="70">
        <f ca="1" t="shared" si="14"/>
        <v>0.993209407691434</v>
      </c>
      <c r="AM126" s="70">
        <f ca="1" t="shared" si="15"/>
        <v>1</v>
      </c>
      <c r="AN126" s="70">
        <f ca="1">Wwp+(Wfc-Wwp)*IF((AU126+AV126)&gt;0,(TEW-(AG126*AU126+AH126*AV126)/(AU126+AV126))/TEW,(TEW-(AG126+AH126)/2)/TEW)</f>
        <v>0.399008396431049</v>
      </c>
      <c r="AO126" s="70">
        <f ca="1">Wwp+(Wfc-Wwp)*(R126-AI126)/R126</f>
        <v>0.399117222999886</v>
      </c>
      <c r="AP126" s="70">
        <f ca="1">Wwp+(Wfc-Wwp)*(S126-AJ126)/S126</f>
        <v>0.4</v>
      </c>
      <c r="AQ126" s="70"/>
      <c r="AR126" s="70"/>
      <c r="AS126" s="70"/>
      <c r="AT126" s="70"/>
      <c r="AU126" s="70">
        <f ca="1">MIN((1-G126),fw)</f>
        <v>0.264</v>
      </c>
      <c r="AV126" s="70">
        <f ca="1" t="shared" si="16"/>
        <v>0</v>
      </c>
      <c r="AW126" s="70">
        <f ca="1">MIN((TEW-Y126)/(TEW-REW),1)</f>
        <v>0.12727820001996</v>
      </c>
      <c r="AX126" s="70">
        <f ca="1">MIN((TEW-Z126)/(TEW-REW),1)</f>
        <v>0.12727820001996</v>
      </c>
      <c r="AY126" s="70">
        <f ca="1">IF((AU126*(TEW-Y126))&gt;0,1/(1+((AV126*(TEW-Z126))/(AU126*(TEW-Y126)))),0)</f>
        <v>1</v>
      </c>
      <c r="AZ126" s="70">
        <f ca="1">MIN((AY126*AW126*(Kcmax-H126)),AU126*Kcmax)</f>
        <v>0.0407686379615251</v>
      </c>
      <c r="BA126" s="70">
        <f ca="1">MIN(((1-AY126)*AX126*(Kcmax-H126)),AV126*Kcmax)</f>
        <v>0</v>
      </c>
      <c r="BB126" s="70">
        <f ca="1" t="shared" si="17"/>
        <v>0.019487408945609</v>
      </c>
      <c r="BC126" s="70">
        <f ca="1">MIN((R126-AA126)/(R126*(1-(p+0.04*(5-I125)))),1)</f>
        <v>1</v>
      </c>
      <c r="BD126" s="10">
        <f ca="1" t="shared" si="18"/>
        <v>0.396591227700008</v>
      </c>
      <c r="BE126" s="70">
        <f ca="1">MIN(IF((1-AA126/R126)&gt;0,(1-Y126/TEW)/(1-AA126/R126)*(Ze/P126)^0.6,0),1)*BC126*H126*B126</f>
        <v>0.178852274112755</v>
      </c>
      <c r="BF126" s="70">
        <f ca="1">MIN(IF((1-AA126/R126)&gt;0,(1-Z126/TEW)/(1-AA126/R126)*(Ze/P126)^0.6,0),1)*BC126*H126*B126</f>
        <v>0.178852274112755</v>
      </c>
      <c r="BH126" s="10">
        <f ca="1" t="shared" si="19"/>
        <v>0.000217974613929578</v>
      </c>
      <c r="BI126" s="10">
        <f ca="1">IF(F126&lt;&gt;"",(Moy_Etobs-F126)^2,"")</f>
        <v>1.38775461635041</v>
      </c>
    </row>
    <row r="127" spans="1:61">
      <c r="A127" s="38">
        <v>39120</v>
      </c>
      <c r="B127" s="10">
        <v>0.998</v>
      </c>
      <c r="C127" s="39">
        <v>0.198</v>
      </c>
      <c r="D127">
        <v>0.705</v>
      </c>
      <c r="E127" s="39">
        <v>0</v>
      </c>
      <c r="F127" s="10">
        <v>1.1415456</v>
      </c>
      <c r="G127" s="10">
        <f ca="1">MIN(MAX(IF(AND(Durpla&gt;ROW()-MATCH(NDVImax,INDEX(D:D,Lig_min,1):INDEX(D:D,Lig_max,1),0)-Lig_min+1,ROW()-MATCH(NDVImax,INDEX(D:D,Lig_min,1):INDEX(D:D,Lig_max,1),0)-Lig_min+1&gt;0,D127*a_fc+b_fc&gt;fc_fin),NDVImax*a_fc+b_fc,D127*a_fc+b_fc),0),1)</f>
        <v>0.74</v>
      </c>
      <c r="H127" s="55">
        <f>MIN(MAX(D127*a_kcb+b_kcb,0),Kcmax)</f>
        <v>0.834197938926931</v>
      </c>
      <c r="I127" s="70">
        <f ca="1" t="shared" si="11"/>
        <v>0.872577668375172</v>
      </c>
      <c r="O127" s="55"/>
      <c r="P127" s="35">
        <f ca="1">IF(ROW()-MATCH(NDVImax,INDEX(D:D,Lig_min,1):INDEX(D:D,Lig_max,1),0)-Lig_min+1&gt;0,MAX(MIN(Zr_min+MAX(INDEX(G:G,Lig_min,1):INDEX(G:G,Lig_max,1))/MAX(MAX(INDEX(G:G,Lig_min,1):INDEX(G:G,Lig_max,1)),Max_fc_pour_Zrmax)*(Zr_max-Zr_min),Zr_max),Ze+0.001),MAX(MIN(Zr_min+G127/MAX(MAX(INDEX(G:G,Lig_min,1):INDEX(G:G,Lig_max,1)),Max_fc_pour_Zrmax)*(Zr_max-Zr_min),Zr_max),Ze+0.001))</f>
        <v>473.211491570556</v>
      </c>
      <c r="Q127" s="35">
        <f ca="1">IF(Z_sol&gt;0,Z_sol-P127,0.1)</f>
        <v>140.663059493878</v>
      </c>
      <c r="R127" s="35">
        <f ca="1">(Wfc-Wwp)*P127</f>
        <v>61.5174939041722</v>
      </c>
      <c r="S127" s="35">
        <f ca="1">(Wfc-Wwp)*Q127</f>
        <v>18.2861977342042</v>
      </c>
      <c r="T127" s="99">
        <f ca="1" t="shared" si="20"/>
        <v>0.252668217088547</v>
      </c>
      <c r="U127" s="99">
        <f ca="1" t="shared" si="21"/>
        <v>0.178852274112755</v>
      </c>
      <c r="V127" s="99">
        <f ca="1">IF(P127&gt;P126,IF(Q127&gt;1,MAX(AI126+(Wfc-Wwp)*(P127-P126)*AJ126/S126,0),AI126/P126*P127),MAX(AI126+(Wfc-Wwp)*(P127-P126)*AI126/R126,0))</f>
        <v>0.416078636645617</v>
      </c>
      <c r="W127" s="99">
        <f ca="1">IF(S127&gt;1,IF(P127&gt;P126,MAX(AJ126-(Wfc-Wwp)*(P127-P126)*AJ126/S126,0),MAX(AJ126-(Wfc-Wwp)*(P127-P126)*AI126/R126,0)),0)</f>
        <v>0</v>
      </c>
      <c r="X127" s="99">
        <f ca="1">IF(AND(OR(AND(dec_vide_TAW&lt;0,V127&gt;R127*(p+0.04*(5-I126))),AND(dec_vide_TAW&gt;0,V127&gt;R127*dec_vide_TAW)),H127&gt;MAX(INDEX(H:H,Lig_min,1):INDEX(H:H,ROW(X127),1))*Kcbmax_stop_irrig*IF(ROW(X127)-lig_kcbmax&gt;0,1,0),MIN(INDEX(H:H,ROW(X127),1):INDEX(H:H,lig_kcbmax,1))&gt;Kcbmin_start_irrig),MIN(MAX(V127-E127*Irri_man-C127,0),Lame_max),0)</f>
        <v>0</v>
      </c>
      <c r="Y127" s="99">
        <f ca="1">MIN(MAX(T127-C127-IF(fw&gt;0,X127/fw*Irri_auto+E127/fw*Irri_man,0),0),TEW)</f>
        <v>0.0546682170885467</v>
      </c>
      <c r="Z127" s="99">
        <f ca="1">MIN(MAX(U127-C127,0),TEW)</f>
        <v>0</v>
      </c>
      <c r="AA127" s="99">
        <f ca="1">MIN(MAX(V127-C127-(X127*Irri_auto+E127*Irri_man),0),R127)</f>
        <v>0.218078636645617</v>
      </c>
      <c r="AB127" s="99">
        <f ca="1">MIN(MAX(W127+MIN(V127-C127-(X127*Irri_auto+E127*Irri_man),0),0),S127)</f>
        <v>0</v>
      </c>
      <c r="AC127" s="99">
        <f ca="1">-MIN(W127+MIN(V127-C127-(X127*Irri_auto+E127*Irri_man),0),0)</f>
        <v>0</v>
      </c>
      <c r="AD127" s="39">
        <f ca="1">IF(((R127-AA127)/P127-((Wfc-Wwp)*Ze-Y127)/Ze)/Wfc*DiffE&lt;0,MAX(((R127-AA127)/P127-((Wfc-Wwp)*Ze-Y127)/Ze)/Wfc*DiffE,(R127*Ze-((Wfc-Wwp)*Ze-Y127-AA127)*P127)/(P127+Ze)-AA127),MIN(((R127-AA127)/P127-((Wfc-Wwp)*Ze-Y127)/Ze)/Wfc*DiffE,(R127*Ze-((Wfc-Wwp)*Ze-Y127-AA127)*P127)/(P127+Ze)-AA127))</f>
        <v>-5.87560131353609e-11</v>
      </c>
      <c r="AE127" s="39">
        <f ca="1">IF(((R127-AA127)/P127-((Wfc-Wwp)*Ze-Z127)/Ze)/Wfc*DiffE&lt;0,MAX(((R127-AA127)/P127-((Wfc-Wwp)*Ze-Z127)/Ze)/Wfc*DiffE,(R127*Ze-((Wfc-Wwp)*Ze-Z127-AA127)*P127)/(P127+Ze)-AA127),MIN(((R127-AA127)/P127-((Wfc-Wwp)*Ze-Z127)/Ze)/Wfc*DiffE,(R127*Ze-((Wfc-Wwp)*Ze-Z127-AA127)*P127)/(P127+Ze)-AA127))</f>
        <v>-1.15212035490635e-9</v>
      </c>
      <c r="AF127" s="39">
        <f ca="1">IF(((S127-AB127)/Q127-(R127-AA127)/P127)/Wfc*DiffR&lt;0,MAX(((S127-AB127)/Q127-(R127-AA127)/P127)/Wfc*DiffR,(S127*P127-(R127-AA127-AB127)*Q127)/(P127+Q127)-AB127),MIN(((S127-AB127)/Q127-(R127-AA127)/P127)/Wfc*DiffR,(S127*P127-(R127-AA127-AB127)*Q127)/(P127+Q127)-AB127))</f>
        <v>1.15212035490635e-9</v>
      </c>
      <c r="AG127" s="99">
        <f ca="1">MIN(MAX(Y127+IF(AU127&gt;0,B127*AZ127/AU127,0)+BE127-AD127,0),TEW)</f>
        <v>0.583963949469914</v>
      </c>
      <c r="AH127" s="99">
        <f ca="1">MIN(MAX(Z127+IF(AV127&gt;0,B127*BA127/AV127,0)+BF127-AE127,0),TEW)</f>
        <v>0.375884827980923</v>
      </c>
      <c r="AI127" s="99">
        <f ca="1" t="shared" si="12"/>
        <v>1.09065630386867</v>
      </c>
      <c r="AJ127" s="99">
        <f ca="1" t="shared" si="13"/>
        <v>1.15212035490635e-9</v>
      </c>
      <c r="AK127" s="70">
        <f ca="1">IF((AU127+AV127)&gt;0,(TEW-(AG127*AU127+AH127*AV127)/(AU127+AV127))/TEW,(TEW-(AG127+AH127)/2)/TEW)</f>
        <v>0.982370899638644</v>
      </c>
      <c r="AL127" s="70">
        <f ca="1" t="shared" si="14"/>
        <v>0.982270794295235</v>
      </c>
      <c r="AM127" s="70">
        <f ca="1" t="shared" si="15"/>
        <v>0.999999999936995</v>
      </c>
      <c r="AN127" s="70">
        <f ca="1">Wwp+(Wfc-Wwp)*IF((AU127+AV127)&gt;0,(TEW-(AG127*AU127+AH127*AV127)/(AU127+AV127))/TEW,(TEW-(AG127+AH127)/2)/TEW)</f>
        <v>0.397708216953024</v>
      </c>
      <c r="AO127" s="70">
        <f ca="1">Wwp+(Wfc-Wwp)*(R127-AI127)/R127</f>
        <v>0.397695203258381</v>
      </c>
      <c r="AP127" s="70">
        <f ca="1">Wwp+(Wfc-Wwp)*(S127-AJ127)/S127</f>
        <v>0.399999999991809</v>
      </c>
      <c r="AQ127" s="70"/>
      <c r="AR127" s="70"/>
      <c r="AS127" s="70"/>
      <c r="AT127" s="70"/>
      <c r="AU127" s="70">
        <f ca="1">MIN((1-G127),fw)</f>
        <v>0.26</v>
      </c>
      <c r="AV127" s="70">
        <f ca="1" t="shared" si="16"/>
        <v>0</v>
      </c>
      <c r="AW127" s="70">
        <f ca="1">MIN((TEW-Y127)/(TEW-REW),1)</f>
        <v>0.127068145008056</v>
      </c>
      <c r="AX127" s="70">
        <f ca="1">MIN((TEW-Z127)/(TEW-REW),1)</f>
        <v>0.12727820001996</v>
      </c>
      <c r="AY127" s="70">
        <f ca="1">IF((AU127*(TEW-Y127))&gt;0,1/(1+((AV127*(TEW-Z127))/(AU127*(TEW-Y127)))),0)</f>
        <v>1</v>
      </c>
      <c r="AZ127" s="70">
        <f ca="1">MIN((AY127*AW127*(Kcmax-H127)),AU127*Kcmax)</f>
        <v>0.0401283820902757</v>
      </c>
      <c r="BA127" s="70">
        <f ca="1">MIN(((1-AY127)*AX127*(Kcmax-H127)),AV127*Kcmax)</f>
        <v>0</v>
      </c>
      <c r="BB127" s="70">
        <f ca="1" t="shared" si="17"/>
        <v>0.0400481253260952</v>
      </c>
      <c r="BC127" s="70">
        <f ca="1">MIN((R127-AA127)/(R127*(1-(p+0.04*(5-I126)))),1)</f>
        <v>1</v>
      </c>
      <c r="BD127" s="10">
        <f ca="1" t="shared" si="18"/>
        <v>0.832529543049077</v>
      </c>
      <c r="BE127" s="70">
        <f ca="1">MIN(IF((1-AA127/R127)&gt;0,(1-Y127/TEW)/(1-AA127/R127)*(Ze/P127)^0.6,0),1)*BC127*H127*B127</f>
        <v>0.375264481068399</v>
      </c>
      <c r="BF127" s="70">
        <f ca="1">MIN(IF((1-AA127/R127)&gt;0,(1-Z127/TEW)/(1-AA127/R127)*(Ze/P127)^0.6,0),1)*BC127*H127*B127</f>
        <v>0.375884826828803</v>
      </c>
      <c r="BH127" s="10">
        <f ca="1" t="shared" si="19"/>
        <v>0.0723437482425382</v>
      </c>
      <c r="BI127" s="10">
        <f ca="1">IF(F127&lt;&gt;"",(Moy_Etobs-F127)^2,"")</f>
        <v>0.218394499322041</v>
      </c>
    </row>
    <row r="128" spans="1:61">
      <c r="A128" s="38">
        <v>39121</v>
      </c>
      <c r="B128" s="10">
        <v>0.613</v>
      </c>
      <c r="C128" s="39">
        <v>4.95</v>
      </c>
      <c r="D128">
        <v>0.709</v>
      </c>
      <c r="E128" s="39">
        <v>0</v>
      </c>
      <c r="F128" s="10">
        <v>0.4259844</v>
      </c>
      <c r="G128" s="10">
        <f ca="1">MIN(MAX(IF(AND(Durpla&gt;ROW()-MATCH(NDVImax,INDEX(D:D,Lig_min,1):INDEX(D:D,Lig_max,1),0)-Lig_min+1,ROW()-MATCH(NDVImax,INDEX(D:D,Lig_min,1):INDEX(D:D,Lig_max,1),0)-Lig_min+1&gt;0,D128*a_fc+b_fc&gt;fc_fin),NDVImax*a_fc+b_fc,D128*a_fc+b_fc),0),1)</f>
        <v>0.745333333333333</v>
      </c>
      <c r="H128" s="55">
        <f>MIN(MAX(D128*a_kcb+b_kcb,0),Kcmax)</f>
        <v>0.840210176324602</v>
      </c>
      <c r="I128" s="70">
        <f ca="1" t="shared" si="11"/>
        <v>0.539219116156969</v>
      </c>
      <c r="O128" s="55"/>
      <c r="P128" s="35">
        <f ca="1">IF(ROW()-MATCH(NDVImax,INDEX(D:D,Lig_min,1):INDEX(D:D,Lig_max,1),0)-Lig_min+1&gt;0,MAX(MIN(Zr_min+MAX(INDEX(G:G,Lig_min,1):INDEX(G:G,Lig_max,1))/MAX(MAX(INDEX(G:G,Lig_min,1):INDEX(G:G,Lig_max,1)),Max_fc_pour_Zrmax)*(Zr_max-Zr_min),Zr_max),Ze+0.001),MAX(MIN(Zr_min+G128/MAX(MAX(INDEX(G:G,Lig_min,1):INDEX(G:G,Lig_max,1)),Max_fc_pour_Zrmax)*(Zr_max-Zr_min),Zr_max),Ze+0.001))</f>
        <v>475.721123942235</v>
      </c>
      <c r="Q128" s="35">
        <f ca="1">IF(Z_sol&gt;0,Z_sol-P128,0.1)</f>
        <v>138.153427122199</v>
      </c>
      <c r="R128" s="35">
        <f ca="1">(Wfc-Wwp)*P128</f>
        <v>61.8437461124906</v>
      </c>
      <c r="S128" s="35">
        <f ca="1">(Wfc-Wwp)*Q128</f>
        <v>17.9599455258858</v>
      </c>
      <c r="T128" s="99">
        <f ca="1" t="shared" si="20"/>
        <v>0.583963949469914</v>
      </c>
      <c r="U128" s="99">
        <f ca="1" t="shared" si="21"/>
        <v>0.375884827980923</v>
      </c>
      <c r="V128" s="99">
        <f ca="1">IF(P128&gt;P127,IF(Q128&gt;1,MAX(AI127+(Wfc-Wwp)*(P128-P127)*AJ127/S127,0),AI127/P127*P128),MAX(AI127+(Wfc-Wwp)*(P128-P127)*AI127/R127,0))</f>
        <v>1.09065630388922</v>
      </c>
      <c r="W128" s="99">
        <f ca="1">IF(S128&gt;1,IF(P128&gt;P127,MAX(AJ127-(Wfc-Wwp)*(P128-P127)*AJ127/S127,0),MAX(AJ127-(Wfc-Wwp)*(P128-P127)*AI127/R127,0)),0)</f>
        <v>1.1315648618782e-9</v>
      </c>
      <c r="X128" s="99">
        <f ca="1">IF(AND(OR(AND(dec_vide_TAW&lt;0,V128&gt;R128*(p+0.04*(5-I127))),AND(dec_vide_TAW&gt;0,V128&gt;R128*dec_vide_TAW)),H128&gt;MAX(INDEX(H:H,Lig_min,1):INDEX(H:H,ROW(X128),1))*Kcbmax_stop_irrig*IF(ROW(X128)-lig_kcbmax&gt;0,1,0),MIN(INDEX(H:H,ROW(X128),1):INDEX(H:H,lig_kcbmax,1))&gt;Kcbmin_start_irrig),MIN(MAX(V128-E128*Irri_man-C128,0),Lame_max),0)</f>
        <v>0</v>
      </c>
      <c r="Y128" s="99">
        <f ca="1">MIN(MAX(T128-C128-IF(fw&gt;0,X128/fw*Irri_auto+E128/fw*Irri_man,0),0),TEW)</f>
        <v>0</v>
      </c>
      <c r="Z128" s="99">
        <f ca="1">MIN(MAX(U128-C128,0),TEW)</f>
        <v>0</v>
      </c>
      <c r="AA128" s="99">
        <f ca="1">MIN(MAX(V128-C128-(X128*Irri_auto+E128*Irri_man),0),R128)</f>
        <v>0</v>
      </c>
      <c r="AB128" s="99">
        <f ca="1">MIN(MAX(W128+MIN(V128-C128-(X128*Irri_auto+E128*Irri_man),0),0),S128)</f>
        <v>0</v>
      </c>
      <c r="AC128" s="99">
        <f ca="1">-MIN(W128+MIN(V128-C128-(X128*Irri_auto+E128*Irri_man),0),0)</f>
        <v>3.85934369497921</v>
      </c>
      <c r="AD128" s="39">
        <f ca="1">IF(((R128-AA128)/P128-((Wfc-Wwp)*Ze-Y128)/Ze)/Wfc*DiffE&lt;0,MAX(((R128-AA128)/P128-((Wfc-Wwp)*Ze-Y128)/Ze)/Wfc*DiffE,(R128*Ze-((Wfc-Wwp)*Ze-Y128-AA128)*P128)/(P128+Ze)-AA128),MIN(((R128-AA128)/P128-((Wfc-Wwp)*Ze-Y128)/Ze)/Wfc*DiffE,(R128*Ze-((Wfc-Wwp)*Ze-Y128-AA128)*P128)/(P128+Ze)-AA128))</f>
        <v>0</v>
      </c>
      <c r="AE128" s="39">
        <f ca="1">IF(((R128-AA128)/P128-((Wfc-Wwp)*Ze-Z128)/Ze)/Wfc*DiffE&lt;0,MAX(((R128-AA128)/P128-((Wfc-Wwp)*Ze-Z128)/Ze)/Wfc*DiffE,(R128*Ze-((Wfc-Wwp)*Ze-Z128-AA128)*P128)/(P128+Ze)-AA128),MIN(((R128-AA128)/P128-((Wfc-Wwp)*Ze-Z128)/Ze)/Wfc*DiffE,(R128*Ze-((Wfc-Wwp)*Ze-Z128-AA128)*P128)/(P128+Ze)-AA128))</f>
        <v>0</v>
      </c>
      <c r="AF128" s="39">
        <f ca="1">IF(((S128-AB128)/Q128-(R128-AA128)/P128)/Wfc*DiffR&lt;0,MAX(((S128-AB128)/Q128-(R128-AA128)/P128)/Wfc*DiffR,(S128*P128-(R128-AA128-AB128)*Q128)/(P128+Q128)-AB128),MIN(((S128-AB128)/Q128-(R128-AA128)/P128)/Wfc*DiffR,(S128*P128-(R128-AA128-AB128)*Q128)/(P128+Q128)-AB128))</f>
        <v>0</v>
      </c>
      <c r="AG128" s="99">
        <f ca="1">MIN(MAX(Y128+IF(AU128&gt;0,B128*AZ128/AU128,0)+BE128-AD128,0),TEW)</f>
        <v>0.325894032613133</v>
      </c>
      <c r="AH128" s="99">
        <f ca="1">MIN(MAX(Z128+IF(AV128&gt;0,B128*BA128/AV128,0)+BF128-AE128,0),TEW)</f>
        <v>0.230984563751923</v>
      </c>
      <c r="AI128" s="99">
        <f ca="1" t="shared" si="12"/>
        <v>0.539219116156969</v>
      </c>
      <c r="AJ128" s="99">
        <f ca="1" t="shared" si="13"/>
        <v>0</v>
      </c>
      <c r="AK128" s="70">
        <f ca="1">IF((AU128+AV128)&gt;0,(TEW-(AG128*AU128+AH128*AV128)/(AU128+AV128))/TEW,(TEW-(AG128+AH128)/2)/TEW)</f>
        <v>0.99016168958149</v>
      </c>
      <c r="AL128" s="70">
        <f ca="1" t="shared" si="14"/>
        <v>0.991280943505975</v>
      </c>
      <c r="AM128" s="70">
        <f ca="1" t="shared" si="15"/>
        <v>1</v>
      </c>
      <c r="AN128" s="70">
        <f ca="1">Wwp+(Wfc-Wwp)*IF((AU128+AV128)&gt;0,(TEW-(AG128*AU128+AH128*AV128)/(AU128+AV128))/TEW,(TEW-(AG128+AH128)/2)/TEW)</f>
        <v>0.398721019645594</v>
      </c>
      <c r="AO128" s="70">
        <f ca="1">Wwp+(Wfc-Wwp)*(R128-AI128)/R128</f>
        <v>0.398866522655777</v>
      </c>
      <c r="AP128" s="70">
        <f ca="1">Wwp+(Wfc-Wwp)*(S128-AJ128)/S128</f>
        <v>0.4</v>
      </c>
      <c r="AQ128" s="70"/>
      <c r="AR128" s="70"/>
      <c r="AS128" s="70"/>
      <c r="AT128" s="70"/>
      <c r="AU128" s="70">
        <f ca="1">MIN((1-G128),fw)</f>
        <v>0.254666666666667</v>
      </c>
      <c r="AV128" s="70">
        <f ca="1" t="shared" si="16"/>
        <v>0</v>
      </c>
      <c r="AW128" s="70">
        <f ca="1">MIN((TEW-Y128)/(TEW-REW),1)</f>
        <v>0.12727820001996</v>
      </c>
      <c r="AX128" s="70">
        <f ca="1">MIN((TEW-Z128)/(TEW-REW),1)</f>
        <v>0.12727820001996</v>
      </c>
      <c r="AY128" s="70">
        <f ca="1">IF((AU128*(TEW-Y128))&gt;0,1/(1+((AV128*(TEW-Z128))/(AU128*(TEW-Y128)))),0)</f>
        <v>1</v>
      </c>
      <c r="AZ128" s="70">
        <f ca="1">MIN((AY128*AW128*(Kcmax-H128)),AU128*Kcmax)</f>
        <v>0.0394294911419055</v>
      </c>
      <c r="BA128" s="70">
        <f ca="1">MIN(((1-AY128)*AX128*(Kcmax-H128)),AV128*Kcmax)</f>
        <v>0</v>
      </c>
      <c r="BB128" s="70">
        <f ca="1" t="shared" si="17"/>
        <v>0.0241702780699881</v>
      </c>
      <c r="BC128" s="70">
        <f ca="1">MIN((R128-AA128)/(R128*(1-(p+0.04*(5-I127)))),1)</f>
        <v>1</v>
      </c>
      <c r="BD128" s="10">
        <f ca="1" t="shared" si="18"/>
        <v>0.515048838086981</v>
      </c>
      <c r="BE128" s="70">
        <f ca="1">MIN(IF((1-AA128/R128)&gt;0,(1-Y128/TEW)/(1-AA128/R128)*(Ze/P128)^0.6,0),1)*BC128*H128*B128</f>
        <v>0.230984563751923</v>
      </c>
      <c r="BF128" s="70">
        <f ca="1">MIN(IF((1-AA128/R128)&gt;0,(1-Z128/TEW)/(1-AA128/R128)*(Ze/P128)^0.6,0),1)*BC128*H128*B128</f>
        <v>0.230984563751923</v>
      </c>
      <c r="BH128" s="10">
        <f ca="1" t="shared" si="19"/>
        <v>0.0128221009431494</v>
      </c>
      <c r="BI128" s="10">
        <f ca="1">IF(F128&lt;&gt;"",(Moy_Etobs-F128)^2,"")</f>
        <v>1.39922442888345</v>
      </c>
    </row>
    <row r="129" spans="1:61">
      <c r="A129" s="38">
        <v>39122</v>
      </c>
      <c r="B129" s="10">
        <v>1.092</v>
      </c>
      <c r="C129" s="39">
        <v>1.98</v>
      </c>
      <c r="D129">
        <v>0.712</v>
      </c>
      <c r="E129" s="39">
        <v>0</v>
      </c>
      <c r="F129" s="10">
        <v>1.1841048</v>
      </c>
      <c r="G129" s="10">
        <f ca="1">MIN(MAX(IF(AND(Durpla&gt;ROW()-MATCH(NDVImax,INDEX(D:D,Lig_min,1):INDEX(D:D,Lig_max,1),0)-Lig_min+1,ROW()-MATCH(NDVImax,INDEX(D:D,Lig_min,1):INDEX(D:D,Lig_max,1),0)-Lig_min+1&gt;0,D129*a_fc+b_fc&gt;fc_fin),NDVImax*a_fc+b_fc,D129*a_fc+b_fc),0),1)</f>
        <v>0.749333333333333</v>
      </c>
      <c r="H129" s="55">
        <f>MIN(MAX(D129*a_kcb+b_kcb,0),Kcmax)</f>
        <v>0.844719354372856</v>
      </c>
      <c r="I129" s="70">
        <f ca="1" t="shared" si="11"/>
        <v>0.964863818590538</v>
      </c>
      <c r="O129" s="55"/>
      <c r="P129" s="35">
        <f ca="1">IF(ROW()-MATCH(NDVImax,INDEX(D:D,Lig_min,1):INDEX(D:D,Lig_max,1),0)-Lig_min+1&gt;0,MAX(MIN(Zr_min+MAX(INDEX(G:G,Lig_min,1):INDEX(G:G,Lig_max,1))/MAX(MAX(INDEX(G:G,Lig_min,1):INDEX(G:G,Lig_max,1)),Max_fc_pour_Zrmax)*(Zr_max-Zr_min),Zr_max),Ze+0.001),MAX(MIN(Zr_min+G129/MAX(MAX(INDEX(G:G,Lig_min,1):INDEX(G:G,Lig_max,1)),Max_fc_pour_Zrmax)*(Zr_max-Zr_min),Zr_max),Ze+0.001))</f>
        <v>477.603348220995</v>
      </c>
      <c r="Q129" s="35">
        <f ca="1">IF(Z_sol&gt;0,Z_sol-P129,0.1)</f>
        <v>136.271202843439</v>
      </c>
      <c r="R129" s="35">
        <f ca="1">(Wfc-Wwp)*P129</f>
        <v>62.0884352687294</v>
      </c>
      <c r="S129" s="35">
        <f ca="1">(Wfc-Wwp)*Q129</f>
        <v>17.7152563696471</v>
      </c>
      <c r="T129" s="99">
        <f ca="1" t="shared" si="20"/>
        <v>0.325894032613133</v>
      </c>
      <c r="U129" s="99">
        <f ca="1" t="shared" si="21"/>
        <v>0.230984563751923</v>
      </c>
      <c r="V129" s="99">
        <f ca="1">IF(P129&gt;P128,IF(Q129&gt;1,MAX(AI128+(Wfc-Wwp)*(P129-P128)*AJ128/S128,0),AI128/P128*P129),MAX(AI128+(Wfc-Wwp)*(P129-P128)*AI128/R128,0))</f>
        <v>0.539219116156969</v>
      </c>
      <c r="W129" s="99">
        <f ca="1">IF(S129&gt;1,IF(P129&gt;P128,MAX(AJ128-(Wfc-Wwp)*(P129-P128)*AJ128/S128,0),MAX(AJ128-(Wfc-Wwp)*(P129-P128)*AI128/R128,0)),0)</f>
        <v>0</v>
      </c>
      <c r="X129" s="99">
        <f ca="1">IF(AND(OR(AND(dec_vide_TAW&lt;0,V129&gt;R129*(p+0.04*(5-I128))),AND(dec_vide_TAW&gt;0,V129&gt;R129*dec_vide_TAW)),H129&gt;MAX(INDEX(H:H,Lig_min,1):INDEX(H:H,ROW(X129),1))*Kcbmax_stop_irrig*IF(ROW(X129)-lig_kcbmax&gt;0,1,0),MIN(INDEX(H:H,ROW(X129),1):INDEX(H:H,lig_kcbmax,1))&gt;Kcbmin_start_irrig),MIN(MAX(V129-E129*Irri_man-C129,0),Lame_max),0)</f>
        <v>0</v>
      </c>
      <c r="Y129" s="99">
        <f ca="1">MIN(MAX(T129-C129-IF(fw&gt;0,X129/fw*Irri_auto+E129/fw*Irri_man,0),0),TEW)</f>
        <v>0</v>
      </c>
      <c r="Z129" s="99">
        <f ca="1">MIN(MAX(U129-C129,0),TEW)</f>
        <v>0</v>
      </c>
      <c r="AA129" s="99">
        <f ca="1">MIN(MAX(V129-C129-(X129*Irri_auto+E129*Irri_man),0),R129)</f>
        <v>0</v>
      </c>
      <c r="AB129" s="99">
        <f ca="1">MIN(MAX(W129+MIN(V129-C129-(X129*Irri_auto+E129*Irri_man),0),0),S129)</f>
        <v>0</v>
      </c>
      <c r="AC129" s="99">
        <f ca="1">-MIN(W129+MIN(V129-C129-(X129*Irri_auto+E129*Irri_man),0),0)</f>
        <v>1.44078088384303</v>
      </c>
      <c r="AD129" s="39">
        <f ca="1">IF(((R129-AA129)/P129-((Wfc-Wwp)*Ze-Y129)/Ze)/Wfc*DiffE&lt;0,MAX(((R129-AA129)/P129-((Wfc-Wwp)*Ze-Y129)/Ze)/Wfc*DiffE,(R129*Ze-((Wfc-Wwp)*Ze-Y129-AA129)*P129)/(P129+Ze)-AA129),MIN(((R129-AA129)/P129-((Wfc-Wwp)*Ze-Y129)/Ze)/Wfc*DiffE,(R129*Ze-((Wfc-Wwp)*Ze-Y129-AA129)*P129)/(P129+Ze)-AA129))</f>
        <v>0</v>
      </c>
      <c r="AE129" s="39">
        <f ca="1">IF(((R129-AA129)/P129-((Wfc-Wwp)*Ze-Z129)/Ze)/Wfc*DiffE&lt;0,MAX(((R129-AA129)/P129-((Wfc-Wwp)*Ze-Z129)/Ze)/Wfc*DiffE,(R129*Ze-((Wfc-Wwp)*Ze-Z129-AA129)*P129)/(P129+Ze)-AA129),MIN(((R129-AA129)/P129-((Wfc-Wwp)*Ze-Z129)/Ze)/Wfc*DiffE,(R129*Ze-((Wfc-Wwp)*Ze-Z129-AA129)*P129)/(P129+Ze)-AA129))</f>
        <v>0</v>
      </c>
      <c r="AF129" s="39">
        <f ca="1">IF(((S129-AB129)/Q129-(R129-AA129)/P129)/Wfc*DiffR&lt;0,MAX(((S129-AB129)/Q129-(R129-AA129)/P129)/Wfc*DiffR,(S129*P129-(R129-AA129-AB129)*Q129)/(P129+Q129)-AB129),MIN(((S129-AB129)/Q129-(R129-AA129)/P129)/Wfc*DiffR,(S129*P129-(R129-AA129-AB129)*Q129)/(P129+Q129)-AB129))</f>
        <v>0</v>
      </c>
      <c r="AG129" s="99">
        <f ca="1">MIN(MAX(Y129+IF(AU129&gt;0,B129*AZ129/AU129,0)+BE129-AD129,0),TEW)</f>
        <v>0.581975644585232</v>
      </c>
      <c r="AH129" s="99">
        <f ca="1">MIN(MAX(Z129+IF(AV129&gt;0,B129*BA129/AV129,0)+BF129-AE129,0),TEW)</f>
        <v>0.412705896119625</v>
      </c>
      <c r="AI129" s="99">
        <f ca="1" t="shared" si="12"/>
        <v>0.964863818590538</v>
      </c>
      <c r="AJ129" s="99">
        <f ca="1" t="shared" si="13"/>
        <v>0</v>
      </c>
      <c r="AK129" s="70">
        <f ca="1">IF((AU129+AV129)&gt;0,(TEW-(AG129*AU129+AH129*AV129)/(AU129+AV129))/TEW,(TEW-(AG129+AH129)/2)/TEW)</f>
        <v>0.98243092393705</v>
      </c>
      <c r="AL129" s="70">
        <f ca="1" t="shared" si="14"/>
        <v>0.984459846436547</v>
      </c>
      <c r="AM129" s="70">
        <f ca="1" t="shared" si="15"/>
        <v>1</v>
      </c>
      <c r="AN129" s="70">
        <f ca="1">Wwp+(Wfc-Wwp)*IF((AU129+AV129)&gt;0,(TEW-(AG129*AU129+AH129*AV129)/(AU129+AV129))/TEW,(TEW-(AG129+AH129)/2)/TEW)</f>
        <v>0.397716020111817</v>
      </c>
      <c r="AO129" s="70">
        <f ca="1">Wwp+(Wfc-Wwp)*(R129-AI129)/R129</f>
        <v>0.397979780036751</v>
      </c>
      <c r="AP129" s="70">
        <f ca="1">Wwp+(Wfc-Wwp)*(S129-AJ129)/S129</f>
        <v>0.4</v>
      </c>
      <c r="AQ129" s="70"/>
      <c r="AR129" s="70"/>
      <c r="AS129" s="70"/>
      <c r="AT129" s="70"/>
      <c r="AU129" s="70">
        <f ca="1">MIN((1-G129),fw)</f>
        <v>0.250666666666667</v>
      </c>
      <c r="AV129" s="70">
        <f ca="1" t="shared" si="16"/>
        <v>0</v>
      </c>
      <c r="AW129" s="70">
        <f ca="1">MIN((TEW-Y129)/(TEW-REW),1)</f>
        <v>0.12727820001996</v>
      </c>
      <c r="AX129" s="70">
        <f ca="1">MIN((TEW-Z129)/(TEW-REW),1)</f>
        <v>0.12727820001996</v>
      </c>
      <c r="AY129" s="70">
        <f ca="1">IF((AU129*(TEW-Y129))&gt;0,1/(1+((AV129*(TEW-Z129))/(AU129*(TEW-Y129)))),0)</f>
        <v>1</v>
      </c>
      <c r="AZ129" s="70">
        <f ca="1">MIN((AY129*AW129*(Kcmax-H129)),AU129*Kcmax)</f>
        <v>0.0388555710763542</v>
      </c>
      <c r="BA129" s="70">
        <f ca="1">MIN(((1-AY129)*AX129*(Kcmax-H129)),AV129*Kcmax)</f>
        <v>0</v>
      </c>
      <c r="BB129" s="70">
        <f ca="1" t="shared" si="17"/>
        <v>0.0424302836153788</v>
      </c>
      <c r="BC129" s="70">
        <f ca="1">MIN((R129-AA129)/(R129*(1-(p+0.04*(5-I128)))),1)</f>
        <v>1</v>
      </c>
      <c r="BD129" s="10">
        <f ca="1" t="shared" si="18"/>
        <v>0.922433534975159</v>
      </c>
      <c r="BE129" s="70">
        <f ca="1">MIN(IF((1-AA129/R129)&gt;0,(1-Y129/TEW)/(1-AA129/R129)*(Ze/P129)^0.6,0),1)*BC129*H129*B129</f>
        <v>0.412705896119625</v>
      </c>
      <c r="BF129" s="70">
        <f ca="1">MIN(IF((1-AA129/R129)&gt;0,(1-Z129/TEW)/(1-AA129/R129)*(Ze/P129)^0.6,0),1)*BC129*H129*B129</f>
        <v>0.412705896119625</v>
      </c>
      <c r="BH129" s="10">
        <f ca="1" t="shared" si="19"/>
        <v>0.0480666079293842</v>
      </c>
      <c r="BI129" s="10">
        <f ca="1">IF(F129&lt;&gt;"",(Moy_Etobs-F129)^2,"")</f>
        <v>0.180427660641892</v>
      </c>
    </row>
    <row r="130" spans="1:61">
      <c r="A130" s="38">
        <v>39123</v>
      </c>
      <c r="B130" s="10">
        <v>0.894</v>
      </c>
      <c r="C130" s="39">
        <v>8.91</v>
      </c>
      <c r="D130">
        <v>0.715</v>
      </c>
      <c r="E130" s="39">
        <v>0</v>
      </c>
      <c r="F130" s="10">
        <v>1.2987</v>
      </c>
      <c r="G130" s="10">
        <f ca="1">MIN(MAX(IF(AND(Durpla&gt;ROW()-MATCH(NDVImax,INDEX(D:D,Lig_min,1):INDEX(D:D,Lig_max,1),0)-Lig_min+1,ROW()-MATCH(NDVImax,INDEX(D:D,Lig_min,1):INDEX(D:D,Lig_max,1),0)-Lig_min+1&gt;0,D130*a_fc+b_fc&gt;fc_fin),NDVImax*a_fc+b_fc,D130*a_fc+b_fc),0),1)</f>
        <v>0.753333333333333</v>
      </c>
      <c r="H130" s="55">
        <f>MIN(MAX(D130*a_kcb+b_kcb,0),Kcmax)</f>
        <v>0.84922853242111</v>
      </c>
      <c r="I130" s="70">
        <f ca="1" t="shared" si="11"/>
        <v>0.79343410398813</v>
      </c>
      <c r="O130" s="55"/>
      <c r="P130" s="35">
        <f ca="1">IF(ROW()-MATCH(NDVImax,INDEX(D:D,Lig_min,1):INDEX(D:D,Lig_max,1),0)-Lig_min+1&gt;0,MAX(MIN(Zr_min+MAX(INDEX(G:G,Lig_min,1):INDEX(G:G,Lig_max,1))/MAX(MAX(INDEX(G:G,Lig_min,1):INDEX(G:G,Lig_max,1)),Max_fc_pour_Zrmax)*(Zr_max-Zr_min),Zr_max),Ze+0.001),MAX(MIN(Zr_min+G130/MAX(MAX(INDEX(G:G,Lig_min,1):INDEX(G:G,Lig_max,1)),Max_fc_pour_Zrmax)*(Zr_max-Zr_min),Zr_max),Ze+0.001))</f>
        <v>479.485572499755</v>
      </c>
      <c r="Q130" s="35">
        <f ca="1">IF(Z_sol&gt;0,Z_sol-P130,0.1)</f>
        <v>134.388978564679</v>
      </c>
      <c r="R130" s="35">
        <f ca="1">(Wfc-Wwp)*P130</f>
        <v>62.3331244249681</v>
      </c>
      <c r="S130" s="35">
        <f ca="1">(Wfc-Wwp)*Q130</f>
        <v>17.4705672134083</v>
      </c>
      <c r="T130" s="99">
        <f ca="1" t="shared" si="20"/>
        <v>0.581975644585232</v>
      </c>
      <c r="U130" s="99">
        <f ca="1" t="shared" si="21"/>
        <v>0.412705896119625</v>
      </c>
      <c r="V130" s="99">
        <f ca="1">IF(P130&gt;P129,IF(Q130&gt;1,MAX(AI129+(Wfc-Wwp)*(P130-P129)*AJ129/S129,0),AI129/P129*P130),MAX(AI129+(Wfc-Wwp)*(P130-P129)*AI129/R129,0))</f>
        <v>0.964863818590538</v>
      </c>
      <c r="W130" s="99">
        <f ca="1">IF(S130&gt;1,IF(P130&gt;P129,MAX(AJ129-(Wfc-Wwp)*(P130-P129)*AJ129/S129,0),MAX(AJ129-(Wfc-Wwp)*(P130-P129)*AI129/R129,0)),0)</f>
        <v>0</v>
      </c>
      <c r="X130" s="99">
        <f ca="1">IF(AND(OR(AND(dec_vide_TAW&lt;0,V130&gt;R130*(p+0.04*(5-I129))),AND(dec_vide_TAW&gt;0,V130&gt;R130*dec_vide_TAW)),H130&gt;MAX(INDEX(H:H,Lig_min,1):INDEX(H:H,ROW(X130),1))*Kcbmax_stop_irrig*IF(ROW(X130)-lig_kcbmax&gt;0,1,0),MIN(INDEX(H:H,ROW(X130),1):INDEX(H:H,lig_kcbmax,1))&gt;Kcbmin_start_irrig),MIN(MAX(V130-E130*Irri_man-C130,0),Lame_max),0)</f>
        <v>0</v>
      </c>
      <c r="Y130" s="99">
        <f ca="1">MIN(MAX(T130-C130-IF(fw&gt;0,X130/fw*Irri_auto+E130/fw*Irri_man,0),0),TEW)</f>
        <v>0</v>
      </c>
      <c r="Z130" s="99">
        <f ca="1">MIN(MAX(U130-C130,0),TEW)</f>
        <v>0</v>
      </c>
      <c r="AA130" s="99">
        <f ca="1">MIN(MAX(V130-C130-(X130*Irri_auto+E130*Irri_man),0),R130)</f>
        <v>0</v>
      </c>
      <c r="AB130" s="99">
        <f ca="1">MIN(MAX(W130+MIN(V130-C130-(X130*Irri_auto+E130*Irri_man),0),0),S130)</f>
        <v>0</v>
      </c>
      <c r="AC130" s="99">
        <f ca="1">-MIN(W130+MIN(V130-C130-(X130*Irri_auto+E130*Irri_man),0),0)</f>
        <v>7.94513618140946</v>
      </c>
      <c r="AD130" s="39">
        <f ca="1">IF(((R130-AA130)/P130-((Wfc-Wwp)*Ze-Y130)/Ze)/Wfc*DiffE&lt;0,MAX(((R130-AA130)/P130-((Wfc-Wwp)*Ze-Y130)/Ze)/Wfc*DiffE,(R130*Ze-((Wfc-Wwp)*Ze-Y130-AA130)*P130)/(P130+Ze)-AA130),MIN(((R130-AA130)/P130-((Wfc-Wwp)*Ze-Y130)/Ze)/Wfc*DiffE,(R130*Ze-((Wfc-Wwp)*Ze-Y130-AA130)*P130)/(P130+Ze)-AA130))</f>
        <v>0</v>
      </c>
      <c r="AE130" s="39">
        <f ca="1">IF(((R130-AA130)/P130-((Wfc-Wwp)*Ze-Z130)/Ze)/Wfc*DiffE&lt;0,MAX(((R130-AA130)/P130-((Wfc-Wwp)*Ze-Z130)/Ze)/Wfc*DiffE,(R130*Ze-((Wfc-Wwp)*Ze-Z130-AA130)*P130)/(P130+Ze)-AA130),MIN(((R130-AA130)/P130-((Wfc-Wwp)*Ze-Z130)/Ze)/Wfc*DiffE,(R130*Ze-((Wfc-Wwp)*Ze-Z130-AA130)*P130)/(P130+Ze)-AA130))</f>
        <v>0</v>
      </c>
      <c r="AF130" s="39">
        <f ca="1">IF(((S130-AB130)/Q130-(R130-AA130)/P130)/Wfc*DiffR&lt;0,MAX(((S130-AB130)/Q130-(R130-AA130)/P130)/Wfc*DiffR,(S130*P130-(R130-AA130-AB130)*Q130)/(P130+Q130)-AB130),MIN(((S130-AB130)/Q130-(R130-AA130)/P130)/Wfc*DiffR,(S130*P130-(R130-AA130-AB130)*Q130)/(P130+Q130)-AB130))</f>
        <v>0</v>
      </c>
      <c r="AG130" s="99">
        <f ca="1">MIN(MAX(Y130+IF(AU130&gt;0,B130*AZ130/AU130,0)+BE130-AD130,0),TEW)</f>
        <v>0.47762265239095</v>
      </c>
      <c r="AH130" s="99">
        <f ca="1">MIN(MAX(Z130+IF(AV130&gt;0,B130*BA130/AV130,0)+BF130-AE130,0),TEW)</f>
        <v>0.338877533457202</v>
      </c>
      <c r="AI130" s="99">
        <f ca="1" t="shared" si="12"/>
        <v>0.79343410398813</v>
      </c>
      <c r="AJ130" s="99">
        <f ca="1" t="shared" si="13"/>
        <v>0</v>
      </c>
      <c r="AK130" s="70">
        <f ca="1">IF((AU130+AV130)&gt;0,(TEW-(AG130*AU130+AH130*AV130)/(AU130+AV130))/TEW,(TEW-(AG130+AH130)/2)/TEW)</f>
        <v>0.985581202946688</v>
      </c>
      <c r="AL130" s="70">
        <f ca="1" t="shared" si="14"/>
        <v>0.987271067970559</v>
      </c>
      <c r="AM130" s="70">
        <f ca="1" t="shared" si="15"/>
        <v>1</v>
      </c>
      <c r="AN130" s="70">
        <f ca="1">Wwp+(Wfc-Wwp)*IF((AU130+AV130)&gt;0,(TEW-(AG130*AU130+AH130*AV130)/(AU130+AV130))/TEW,(TEW-(AG130+AH130)/2)/TEW)</f>
        <v>0.39812555638307</v>
      </c>
      <c r="AO130" s="70">
        <f ca="1">Wwp+(Wfc-Wwp)*(R130-AI130)/R130</f>
        <v>0.398345238836173</v>
      </c>
      <c r="AP130" s="70">
        <f ca="1">Wwp+(Wfc-Wwp)*(S130-AJ130)/S130</f>
        <v>0.4</v>
      </c>
      <c r="AQ130" s="70"/>
      <c r="AR130" s="70"/>
      <c r="AS130" s="70"/>
      <c r="AT130" s="70"/>
      <c r="AU130" s="70">
        <f ca="1">MIN((1-G130),fw)</f>
        <v>0.246666666666667</v>
      </c>
      <c r="AV130" s="70">
        <f ca="1" t="shared" si="16"/>
        <v>0</v>
      </c>
      <c r="AW130" s="70">
        <f ca="1">MIN((TEW-Y130)/(TEW-REW),1)</f>
        <v>0.12727820001996</v>
      </c>
      <c r="AX130" s="70">
        <f ca="1">MIN((TEW-Z130)/(TEW-REW),1)</f>
        <v>0.12727820001996</v>
      </c>
      <c r="AY130" s="70">
        <f ca="1">IF((AU130*(TEW-Y130))&gt;0,1/(1+((AV130*(TEW-Z130))/(AU130*(TEW-Y130)))),0)</f>
        <v>1</v>
      </c>
      <c r="AZ130" s="70">
        <f ca="1">MIN((AY130*AW130*(Kcmax-H130)),AU130*Kcmax)</f>
        <v>0.038281651010803</v>
      </c>
      <c r="BA130" s="70">
        <f ca="1">MIN(((1-AY130)*AX130*(Kcmax-H130)),AV130*Kcmax)</f>
        <v>0</v>
      </c>
      <c r="BB130" s="70">
        <f ca="1" t="shared" si="17"/>
        <v>0.0342237960036579</v>
      </c>
      <c r="BC130" s="70">
        <f ca="1">MIN((R130-AA130)/(R130*(1-(p+0.04*(5-I129)))),1)</f>
        <v>1</v>
      </c>
      <c r="BD130" s="10">
        <f ca="1" t="shared" si="18"/>
        <v>0.759210307984472</v>
      </c>
      <c r="BE130" s="70">
        <f ca="1">MIN(IF((1-AA130/R130)&gt;0,(1-Y130/TEW)/(1-AA130/R130)*(Ze/P130)^0.6,0),1)*BC130*H130*B130</f>
        <v>0.338877533457202</v>
      </c>
      <c r="BF130" s="70">
        <f ca="1">MIN(IF((1-AA130/R130)&gt;0,(1-Z130/TEW)/(1-AA130/R130)*(Ze/P130)^0.6,0),1)*BC130*H130*B130</f>
        <v>0.338877533457202</v>
      </c>
      <c r="BH130" s="10">
        <f ca="1" t="shared" si="19"/>
        <v>0.255293625672678</v>
      </c>
      <c r="BI130" s="10">
        <f ca="1">IF(F130&lt;&gt;"",(Moy_Etobs-F130)^2,"")</f>
        <v>0.0962070247950016</v>
      </c>
    </row>
    <row r="131" spans="1:61">
      <c r="A131" s="38">
        <v>39124</v>
      </c>
      <c r="B131" s="10">
        <v>0.974</v>
      </c>
      <c r="C131" s="39">
        <v>2.772</v>
      </c>
      <c r="D131">
        <v>0.718</v>
      </c>
      <c r="E131" s="39">
        <v>0</v>
      </c>
      <c r="F131" s="10">
        <v>0.8498556</v>
      </c>
      <c r="G131" s="10">
        <f ca="1">MIN(MAX(IF(AND(Durpla&gt;ROW()-MATCH(NDVImax,INDEX(D:D,Lig_min,1):INDEX(D:D,Lig_max,1),0)-Lig_min+1,ROW()-MATCH(NDVImax,INDEX(D:D,Lig_min,1):INDEX(D:D,Lig_max,1),0)-Lig_min+1&gt;0,D131*a_fc+b_fc&gt;fc_fin),NDVImax*a_fc+b_fc,D131*a_fc+b_fc),0),1)</f>
        <v>0.757333333333333</v>
      </c>
      <c r="H131" s="55">
        <f>MIN(MAX(D131*a_kcb+b_kcb,0),Kcmax)</f>
        <v>0.853737710469363</v>
      </c>
      <c r="I131" s="70">
        <f ca="1" t="shared" si="11"/>
        <v>0.868267859937835</v>
      </c>
      <c r="O131" s="55"/>
      <c r="P131" s="35">
        <f ca="1">IF(ROW()-MATCH(NDVImax,INDEX(D:D,Lig_min,1):INDEX(D:D,Lig_max,1),0)-Lig_min+1&gt;0,MAX(MIN(Zr_min+MAX(INDEX(G:G,Lig_min,1):INDEX(G:G,Lig_max,1))/MAX(MAX(INDEX(G:G,Lig_min,1):INDEX(G:G,Lig_max,1)),Max_fc_pour_Zrmax)*(Zr_max-Zr_min),Zr_max),Ze+0.001),MAX(MIN(Zr_min+G131/MAX(MAX(INDEX(G:G,Lig_min,1):INDEX(G:G,Lig_max,1)),Max_fc_pour_Zrmax)*(Zr_max-Zr_min),Zr_max),Ze+0.001))</f>
        <v>481.367796778515</v>
      </c>
      <c r="Q131" s="35">
        <f ca="1">IF(Z_sol&gt;0,Z_sol-P131,0.1)</f>
        <v>132.506754285919</v>
      </c>
      <c r="R131" s="35">
        <f ca="1">(Wfc-Wwp)*P131</f>
        <v>62.5778135812069</v>
      </c>
      <c r="S131" s="35">
        <f ca="1">(Wfc-Wwp)*Q131</f>
        <v>17.2258780571695</v>
      </c>
      <c r="T131" s="99">
        <f ca="1" t="shared" si="20"/>
        <v>0.47762265239095</v>
      </c>
      <c r="U131" s="99">
        <f ca="1" t="shared" si="21"/>
        <v>0.338877533457202</v>
      </c>
      <c r="V131" s="99">
        <f ca="1">IF(P131&gt;P130,IF(Q131&gt;1,MAX(AI130+(Wfc-Wwp)*(P131-P130)*AJ130/S130,0),AI130/P130*P131),MAX(AI130+(Wfc-Wwp)*(P131-P130)*AI130/R130,0))</f>
        <v>0.79343410398813</v>
      </c>
      <c r="W131" s="99">
        <f ca="1">IF(S131&gt;1,IF(P131&gt;P130,MAX(AJ130-(Wfc-Wwp)*(P131-P130)*AJ130/S130,0),MAX(AJ130-(Wfc-Wwp)*(P131-P130)*AI130/R130,0)),0)</f>
        <v>0</v>
      </c>
      <c r="X131" s="99">
        <f ca="1">IF(AND(OR(AND(dec_vide_TAW&lt;0,V131&gt;R131*(p+0.04*(5-I130))),AND(dec_vide_TAW&gt;0,V131&gt;R131*dec_vide_TAW)),H131&gt;MAX(INDEX(H:H,Lig_min,1):INDEX(H:H,ROW(X131),1))*Kcbmax_stop_irrig*IF(ROW(X131)-lig_kcbmax&gt;0,1,0),MIN(INDEX(H:H,ROW(X131),1):INDEX(H:H,lig_kcbmax,1))&gt;Kcbmin_start_irrig),MIN(MAX(V131-E131*Irri_man-C131,0),Lame_max),0)</f>
        <v>0</v>
      </c>
      <c r="Y131" s="99">
        <f ca="1">MIN(MAX(T131-C131-IF(fw&gt;0,X131/fw*Irri_auto+E131/fw*Irri_man,0),0),TEW)</f>
        <v>0</v>
      </c>
      <c r="Z131" s="99">
        <f ca="1">MIN(MAX(U131-C131,0),TEW)</f>
        <v>0</v>
      </c>
      <c r="AA131" s="99">
        <f ca="1">MIN(MAX(V131-C131-(X131*Irri_auto+E131*Irri_man),0),R131)</f>
        <v>0</v>
      </c>
      <c r="AB131" s="99">
        <f ca="1">MIN(MAX(W131+MIN(V131-C131-(X131*Irri_auto+E131*Irri_man),0),0),S131)</f>
        <v>0</v>
      </c>
      <c r="AC131" s="99">
        <f ca="1">-MIN(W131+MIN(V131-C131-(X131*Irri_auto+E131*Irri_man),0),0)</f>
        <v>1.97856589601187</v>
      </c>
      <c r="AD131" s="39">
        <f ca="1">IF(((R131-AA131)/P131-((Wfc-Wwp)*Ze-Y131)/Ze)/Wfc*DiffE&lt;0,MAX(((R131-AA131)/P131-((Wfc-Wwp)*Ze-Y131)/Ze)/Wfc*DiffE,(R131*Ze-((Wfc-Wwp)*Ze-Y131-AA131)*P131)/(P131+Ze)-AA131),MIN(((R131-AA131)/P131-((Wfc-Wwp)*Ze-Y131)/Ze)/Wfc*DiffE,(R131*Ze-((Wfc-Wwp)*Ze-Y131-AA131)*P131)/(P131+Ze)-AA131))</f>
        <v>0</v>
      </c>
      <c r="AE131" s="39">
        <f ca="1">IF(((R131-AA131)/P131-((Wfc-Wwp)*Ze-Z131)/Ze)/Wfc*DiffE&lt;0,MAX(((R131-AA131)/P131-((Wfc-Wwp)*Ze-Z131)/Ze)/Wfc*DiffE,(R131*Ze-((Wfc-Wwp)*Ze-Z131-AA131)*P131)/(P131+Ze)-AA131),MIN(((R131-AA131)/P131-((Wfc-Wwp)*Ze-Z131)/Ze)/Wfc*DiffE,(R131*Ze-((Wfc-Wwp)*Ze-Z131-AA131)*P131)/(P131+Ze)-AA131))</f>
        <v>0</v>
      </c>
      <c r="AF131" s="39">
        <f ca="1">IF(((S131-AB131)/Q131-(R131-AA131)/P131)/Wfc*DiffR&lt;0,MAX(((S131-AB131)/Q131-(R131-AA131)/P131)/Wfc*DiffR,(S131*P131-(R131-AA131-AB131)*Q131)/(P131+Q131)-AB131),MIN(((S131-AB131)/Q131-(R131-AA131)/P131)/Wfc*DiffR,(S131*P131-(R131-AA131-AB131)*Q131)/(P131+Q131)-AB131))</f>
        <v>0</v>
      </c>
      <c r="AG131" s="99">
        <f ca="1">MIN(MAX(Y131+IF(AU131&gt;0,B131*AZ131/AU131,0)+BE131-AD131,0),TEW)</f>
        <v>0.521639932717915</v>
      </c>
      <c r="AH131" s="99">
        <f ca="1">MIN(MAX(Z131+IF(AV131&gt;0,B131*BA131/AV131,0)+BF131-AE131,0),TEW)</f>
        <v>0.370291045599748</v>
      </c>
      <c r="AI131" s="99">
        <f ca="1" t="shared" si="12"/>
        <v>0.868267859937835</v>
      </c>
      <c r="AJ131" s="99">
        <f ca="1" t="shared" si="13"/>
        <v>0</v>
      </c>
      <c r="AK131" s="70">
        <f ca="1">IF((AU131+AV131)&gt;0,(TEW-(AG131*AU131+AH131*AV131)/(AU131+AV131))/TEW,(TEW-(AG131+AH131)/2)/TEW)</f>
        <v>0.984252379389648</v>
      </c>
      <c r="AL131" s="70">
        <f ca="1" t="shared" si="14"/>
        <v>0.98612498886988</v>
      </c>
      <c r="AM131" s="70">
        <f ca="1" t="shared" si="15"/>
        <v>1</v>
      </c>
      <c r="AN131" s="70">
        <f ca="1">Wwp+(Wfc-Wwp)*IF((AU131+AV131)&gt;0,(TEW-(AG131*AU131+AH131*AV131)/(AU131+AV131))/TEW,(TEW-(AG131+AH131)/2)/TEW)</f>
        <v>0.397952809320654</v>
      </c>
      <c r="AO131" s="70">
        <f ca="1">Wwp+(Wfc-Wwp)*(R131-AI131)/R131</f>
        <v>0.398196248553084</v>
      </c>
      <c r="AP131" s="70">
        <f ca="1">Wwp+(Wfc-Wwp)*(S131-AJ131)/S131</f>
        <v>0.4</v>
      </c>
      <c r="AQ131" s="70"/>
      <c r="AR131" s="70"/>
      <c r="AS131" s="70"/>
      <c r="AT131" s="70"/>
      <c r="AU131" s="70">
        <f ca="1">MIN((1-G131),fw)</f>
        <v>0.242666666666667</v>
      </c>
      <c r="AV131" s="70">
        <f ca="1" t="shared" si="16"/>
        <v>0</v>
      </c>
      <c r="AW131" s="70">
        <f ca="1">MIN((TEW-Y131)/(TEW-REW),1)</f>
        <v>0.12727820001996</v>
      </c>
      <c r="AX131" s="70">
        <f ca="1">MIN((TEW-Z131)/(TEW-REW),1)</f>
        <v>0.12727820001996</v>
      </c>
      <c r="AY131" s="70">
        <f ca="1">IF((AU131*(TEW-Y131))&gt;0,1/(1+((AV131*(TEW-Z131))/(AU131*(TEW-Y131)))),0)</f>
        <v>1</v>
      </c>
      <c r="AZ131" s="70">
        <f ca="1">MIN((AY131*AW131*(Kcmax-H131)),AU131*Kcmax)</f>
        <v>0.0377077309452517</v>
      </c>
      <c r="BA131" s="70">
        <f ca="1">MIN(((1-AY131)*AX131*(Kcmax-H131)),AV131*Kcmax)</f>
        <v>0</v>
      </c>
      <c r="BB131" s="70">
        <f ca="1" t="shared" si="17"/>
        <v>0.0367273299406752</v>
      </c>
      <c r="BC131" s="70">
        <f ca="1">MIN((R131-AA131)/(R131*(1-(p+0.04*(5-I130)))),1)</f>
        <v>1</v>
      </c>
      <c r="BD131" s="10">
        <f ca="1" t="shared" si="18"/>
        <v>0.83154052999716</v>
      </c>
      <c r="BE131" s="70">
        <f ca="1">MIN(IF((1-AA131/R131)&gt;0,(1-Y131/TEW)/(1-AA131/R131)*(Ze/P131)^0.6,0),1)*BC131*H131*B131</f>
        <v>0.370291045599748</v>
      </c>
      <c r="BF131" s="70">
        <f ca="1">MIN(IF((1-AA131/R131)&gt;0,(1-Z131/TEW)/(1-AA131/R131)*(Ze/P131)^0.6,0),1)*BC131*H131*B131</f>
        <v>0.370291045599748</v>
      </c>
      <c r="BH131" s="10">
        <f ca="1" t="shared" si="19"/>
        <v>0.000339011316018409</v>
      </c>
      <c r="BI131" s="10">
        <f ca="1">IF(F131&lt;&gt;"",(Moy_Etobs-F131)^2,"")</f>
        <v>0.576106764699027</v>
      </c>
    </row>
    <row r="132" spans="1:61">
      <c r="A132" s="38">
        <v>39125</v>
      </c>
      <c r="B132" s="10">
        <v>1.025</v>
      </c>
      <c r="C132" s="39">
        <v>10.89</v>
      </c>
      <c r="D132">
        <v>0.721</v>
      </c>
      <c r="E132" s="39">
        <v>0</v>
      </c>
      <c r="F132" s="10">
        <v>0.814266</v>
      </c>
      <c r="G132" s="10">
        <f ca="1">MIN(MAX(IF(AND(Durpla&gt;ROW()-MATCH(NDVImax,INDEX(D:D,Lig_min,1):INDEX(D:D,Lig_max,1),0)-Lig_min+1,ROW()-MATCH(NDVImax,INDEX(D:D,Lig_min,1):INDEX(D:D,Lig_max,1),0)-Lig_min+1&gt;0,D132*a_fc+b_fc&gt;fc_fin),NDVImax*a_fc+b_fc,D132*a_fc+b_fc),0),1)</f>
        <v>0.761333333333333</v>
      </c>
      <c r="H132" s="55">
        <f>MIN(MAX(D132*a_kcb+b_kcb,0),Kcmax)</f>
        <v>0.858246888517617</v>
      </c>
      <c r="I132" s="70">
        <f ca="1" t="shared" si="11"/>
        <v>0.91776521688225</v>
      </c>
      <c r="O132" s="55"/>
      <c r="P132" s="35">
        <f ca="1">IF(ROW()-MATCH(NDVImax,INDEX(D:D,Lig_min,1):INDEX(D:D,Lig_max,1),0)-Lig_min+1&gt;0,MAX(MIN(Zr_min+MAX(INDEX(G:G,Lig_min,1):INDEX(G:G,Lig_max,1))/MAX(MAX(INDEX(G:G,Lig_min,1):INDEX(G:G,Lig_max,1)),Max_fc_pour_Zrmax)*(Zr_max-Zr_min),Zr_max),Ze+0.001),MAX(MIN(Zr_min+G132/MAX(MAX(INDEX(G:G,Lig_min,1):INDEX(G:G,Lig_max,1)),Max_fc_pour_Zrmax)*(Zr_max-Zr_min),Zr_max),Ze+0.001))</f>
        <v>483.250021057274</v>
      </c>
      <c r="Q132" s="35">
        <f ca="1">IF(Z_sol&gt;0,Z_sol-P132,0.1)</f>
        <v>130.62453000716</v>
      </c>
      <c r="R132" s="35">
        <f ca="1">(Wfc-Wwp)*P132</f>
        <v>62.8225027374457</v>
      </c>
      <c r="S132" s="35">
        <f ca="1">(Wfc-Wwp)*Q132</f>
        <v>16.9811889009308</v>
      </c>
      <c r="T132" s="99">
        <f ca="1" t="shared" si="20"/>
        <v>0.521639932717915</v>
      </c>
      <c r="U132" s="99">
        <f ca="1" t="shared" si="21"/>
        <v>0.370291045599748</v>
      </c>
      <c r="V132" s="99">
        <f ca="1">IF(P132&gt;P131,IF(Q132&gt;1,MAX(AI131+(Wfc-Wwp)*(P132-P131)*AJ131/S131,0),AI131/P131*P132),MAX(AI131+(Wfc-Wwp)*(P132-P131)*AI131/R131,0))</f>
        <v>0.868267859937835</v>
      </c>
      <c r="W132" s="99">
        <f ca="1">IF(S132&gt;1,IF(P132&gt;P131,MAX(AJ131-(Wfc-Wwp)*(P132-P131)*AJ131/S131,0),MAX(AJ131-(Wfc-Wwp)*(P132-P131)*AI131/R131,0)),0)</f>
        <v>0</v>
      </c>
      <c r="X132" s="99">
        <f ca="1">IF(AND(OR(AND(dec_vide_TAW&lt;0,V132&gt;R132*(p+0.04*(5-I131))),AND(dec_vide_TAW&gt;0,V132&gt;R132*dec_vide_TAW)),H132&gt;MAX(INDEX(H:H,Lig_min,1):INDEX(H:H,ROW(X132),1))*Kcbmax_stop_irrig*IF(ROW(X132)-lig_kcbmax&gt;0,1,0),MIN(INDEX(H:H,ROW(X132),1):INDEX(H:H,lig_kcbmax,1))&gt;Kcbmin_start_irrig),MIN(MAX(V132-E132*Irri_man-C132,0),Lame_max),0)</f>
        <v>0</v>
      </c>
      <c r="Y132" s="99">
        <f ca="1">MIN(MAX(T132-C132-IF(fw&gt;0,X132/fw*Irri_auto+E132/fw*Irri_man,0),0),TEW)</f>
        <v>0</v>
      </c>
      <c r="Z132" s="99">
        <f ca="1">MIN(MAX(U132-C132,0),TEW)</f>
        <v>0</v>
      </c>
      <c r="AA132" s="99">
        <f ca="1">MIN(MAX(V132-C132-(X132*Irri_auto+E132*Irri_man),0),R132)</f>
        <v>0</v>
      </c>
      <c r="AB132" s="99">
        <f ca="1">MIN(MAX(W132+MIN(V132-C132-(X132*Irri_auto+E132*Irri_man),0),0),S132)</f>
        <v>0</v>
      </c>
      <c r="AC132" s="99">
        <f ca="1">-MIN(W132+MIN(V132-C132-(X132*Irri_auto+E132*Irri_man),0),0)</f>
        <v>10.0217321400622</v>
      </c>
      <c r="AD132" s="39">
        <f ca="1">IF(((R132-AA132)/P132-((Wfc-Wwp)*Ze-Y132)/Ze)/Wfc*DiffE&lt;0,MAX(((R132-AA132)/P132-((Wfc-Wwp)*Ze-Y132)/Ze)/Wfc*DiffE,(R132*Ze-((Wfc-Wwp)*Ze-Y132-AA132)*P132)/(P132+Ze)-AA132),MIN(((R132-AA132)/P132-((Wfc-Wwp)*Ze-Y132)/Ze)/Wfc*DiffE,(R132*Ze-((Wfc-Wwp)*Ze-Y132-AA132)*P132)/(P132+Ze)-AA132))</f>
        <v>0</v>
      </c>
      <c r="AE132" s="39">
        <f ca="1">IF(((R132-AA132)/P132-((Wfc-Wwp)*Ze-Z132)/Ze)/Wfc*DiffE&lt;0,MAX(((R132-AA132)/P132-((Wfc-Wwp)*Ze-Z132)/Ze)/Wfc*DiffE,(R132*Ze-((Wfc-Wwp)*Ze-Z132-AA132)*P132)/(P132+Ze)-AA132),MIN(((R132-AA132)/P132-((Wfc-Wwp)*Ze-Z132)/Ze)/Wfc*DiffE,(R132*Ze-((Wfc-Wwp)*Ze-Z132-AA132)*P132)/(P132+Ze)-AA132))</f>
        <v>0</v>
      </c>
      <c r="AF132" s="39">
        <f ca="1">IF(((S132-AB132)/Q132-(R132-AA132)/P132)/Wfc*DiffR&lt;0,MAX(((S132-AB132)/Q132-(R132-AA132)/P132)/Wfc*DiffR,(S132*P132-(R132-AA132-AB132)*Q132)/(P132+Q132)-AB132),MIN(((S132-AB132)/Q132-(R132-AA132)/P132)/Wfc*DiffR,(S132*P132-(R132-AA132-AB132)*Q132)/(P132+Q132)-AB132))</f>
        <v>0</v>
      </c>
      <c r="AG132" s="99">
        <f ca="1">MIN(MAX(Y132+IF(AU132&gt;0,B132*AZ132/AU132,0)+BE132-AD132,0),TEW)</f>
        <v>0.550300288967236</v>
      </c>
      <c r="AH132" s="99">
        <f ca="1">MIN(MAX(Z132+IF(AV132&gt;0,B132*BA132/AV132,0)+BF132-AE132,0),TEW)</f>
        <v>0.390821981069081</v>
      </c>
      <c r="AI132" s="99">
        <f ca="1" t="shared" si="12"/>
        <v>0.91776521688225</v>
      </c>
      <c r="AJ132" s="99">
        <f ca="1" t="shared" si="13"/>
        <v>0</v>
      </c>
      <c r="AK132" s="70">
        <f ca="1">IF((AU132+AV132)&gt;0,(TEW-(AG132*AU132+AH132*AV132)/(AU132+AV132))/TEW,(TEW-(AG132+AH132)/2)/TEW)</f>
        <v>0.983387161087782</v>
      </c>
      <c r="AL132" s="70">
        <f ca="1" t="shared" si="14"/>
        <v>0.985391138893051</v>
      </c>
      <c r="AM132" s="70">
        <f ca="1" t="shared" si="15"/>
        <v>1</v>
      </c>
      <c r="AN132" s="70">
        <f ca="1">Wwp+(Wfc-Wwp)*IF((AU132+AV132)&gt;0,(TEW-(AG132*AU132+AH132*AV132)/(AU132+AV132))/TEW,(TEW-(AG132+AH132)/2)/TEW)</f>
        <v>0.397840330941412</v>
      </c>
      <c r="AO132" s="70">
        <f ca="1">Wwp+(Wfc-Wwp)*(R132-AI132)/R132</f>
        <v>0.398100848056097</v>
      </c>
      <c r="AP132" s="70">
        <f ca="1">Wwp+(Wfc-Wwp)*(S132-AJ132)/S132</f>
        <v>0.4</v>
      </c>
      <c r="AQ132" s="70"/>
      <c r="AR132" s="70"/>
      <c r="AS132" s="70"/>
      <c r="AT132" s="70"/>
      <c r="AU132" s="70">
        <f ca="1">MIN((1-G132),fw)</f>
        <v>0.238666666666667</v>
      </c>
      <c r="AV132" s="70">
        <f ca="1" t="shared" si="16"/>
        <v>0</v>
      </c>
      <c r="AW132" s="70">
        <f ca="1">MIN((TEW-Y132)/(TEW-REW),1)</f>
        <v>0.12727820001996</v>
      </c>
      <c r="AX132" s="70">
        <f ca="1">MIN((TEW-Z132)/(TEW-REW),1)</f>
        <v>0.12727820001996</v>
      </c>
      <c r="AY132" s="70">
        <f ca="1">IF((AU132*(TEW-Y132))&gt;0,1/(1+((AV132*(TEW-Z132))/(AU132*(TEW-Y132)))),0)</f>
        <v>1</v>
      </c>
      <c r="AZ132" s="70">
        <f ca="1">MIN((AY132*AW132*(Kcmax-H132)),AU132*Kcmax)</f>
        <v>0.0371338108797005</v>
      </c>
      <c r="BA132" s="70">
        <f ca="1">MIN(((1-AY132)*AX132*(Kcmax-H132)),AV132*Kcmax)</f>
        <v>0</v>
      </c>
      <c r="BB132" s="70">
        <f ca="1" t="shared" si="17"/>
        <v>0.038062156151693</v>
      </c>
      <c r="BC132" s="70">
        <f ca="1">MIN((R132-AA132)/(R132*(1-(p+0.04*(5-I131)))),1)</f>
        <v>1</v>
      </c>
      <c r="BD132" s="10">
        <f ca="1" t="shared" si="18"/>
        <v>0.879703060730557</v>
      </c>
      <c r="BE132" s="70">
        <f ca="1">MIN(IF((1-AA132/R132)&gt;0,(1-Y132/TEW)/(1-AA132/R132)*(Ze/P132)^0.6,0),1)*BC132*H132*B132</f>
        <v>0.390821981069081</v>
      </c>
      <c r="BF132" s="70">
        <f ca="1">MIN(IF((1-AA132/R132)&gt;0,(1-Z132/TEW)/(1-AA132/R132)*(Ze/P132)^0.6,0),1)*BC132*H132*B132</f>
        <v>0.390821981069081</v>
      </c>
      <c r="BH132" s="10">
        <f ca="1" t="shared" si="19"/>
        <v>0.0107120878952391</v>
      </c>
      <c r="BI132" s="10">
        <f ca="1">IF(F132&lt;&gt;"",(Moy_Etobs-F132)^2,"")</f>
        <v>0.631399605223472</v>
      </c>
    </row>
    <row r="133" spans="1:61">
      <c r="A133" s="38">
        <v>39126</v>
      </c>
      <c r="B133" s="10">
        <v>1.177</v>
      </c>
      <c r="C133" s="39">
        <v>2.574</v>
      </c>
      <c r="D133">
        <v>0.725</v>
      </c>
      <c r="E133" s="39">
        <v>0</v>
      </c>
      <c r="F133" s="10">
        <v>1.1055528</v>
      </c>
      <c r="G133" s="10">
        <f ca="1">MIN(MAX(IF(AND(Durpla&gt;ROW()-MATCH(NDVImax,INDEX(D:D,Lig_min,1):INDEX(D:D,Lig_max,1),0)-Lig_min+1,ROW()-MATCH(NDVImax,INDEX(D:D,Lig_min,1):INDEX(D:D,Lig_max,1),0)-Lig_min+1&gt;0,D133*a_fc+b_fc&gt;fc_fin),NDVImax*a_fc+b_fc,D133*a_fc+b_fc),0),1)</f>
        <v>0.766666666666667</v>
      </c>
      <c r="H133" s="55">
        <f>MIN(MAX(D133*a_kcb+b_kcb,0),Kcmax)</f>
        <v>0.864259125915289</v>
      </c>
      <c r="I133" s="70">
        <f ca="1" t="shared" si="11"/>
        <v>1.06003881471816</v>
      </c>
      <c r="O133" s="55"/>
      <c r="P133" s="35">
        <f ca="1">IF(ROW()-MATCH(NDVImax,INDEX(D:D,Lig_min,1):INDEX(D:D,Lig_max,1),0)-Lig_min+1&gt;0,MAX(MIN(Zr_min+MAX(INDEX(G:G,Lig_min,1):INDEX(G:G,Lig_max,1))/MAX(MAX(INDEX(G:G,Lig_min,1):INDEX(G:G,Lig_max,1)),Max_fc_pour_Zrmax)*(Zr_max-Zr_min),Zr_max),Ze+0.001),MAX(MIN(Zr_min+G133/MAX(MAX(INDEX(G:G,Lig_min,1):INDEX(G:G,Lig_max,1)),Max_fc_pour_Zrmax)*(Zr_max-Zr_min),Zr_max),Ze+0.001))</f>
        <v>485.759653428954</v>
      </c>
      <c r="Q133" s="35">
        <f ca="1">IF(Z_sol&gt;0,Z_sol-P133,0.1)</f>
        <v>128.11489763548</v>
      </c>
      <c r="R133" s="35">
        <f ca="1">(Wfc-Wwp)*P133</f>
        <v>63.148754945764</v>
      </c>
      <c r="S133" s="35">
        <f ca="1">(Wfc-Wwp)*Q133</f>
        <v>16.6549366926124</v>
      </c>
      <c r="T133" s="99">
        <f ca="1" t="shared" si="20"/>
        <v>0.550300288967236</v>
      </c>
      <c r="U133" s="99">
        <f ca="1" t="shared" si="21"/>
        <v>0.390821981069081</v>
      </c>
      <c r="V133" s="99">
        <f ca="1">IF(P133&gt;P132,IF(Q133&gt;1,MAX(AI132+(Wfc-Wwp)*(P133-P132)*AJ132/S132,0),AI132/P132*P133),MAX(AI132+(Wfc-Wwp)*(P133-P132)*AI132/R132,0))</f>
        <v>0.91776521688225</v>
      </c>
      <c r="W133" s="99">
        <f ca="1">IF(S133&gt;1,IF(P133&gt;P132,MAX(AJ132-(Wfc-Wwp)*(P133-P132)*AJ132/S132,0),MAX(AJ132-(Wfc-Wwp)*(P133-P132)*AI132/R132,0)),0)</f>
        <v>0</v>
      </c>
      <c r="X133" s="99">
        <f ca="1">IF(AND(OR(AND(dec_vide_TAW&lt;0,V133&gt;R133*(p+0.04*(5-I132))),AND(dec_vide_TAW&gt;0,V133&gt;R133*dec_vide_TAW)),H133&gt;MAX(INDEX(H:H,Lig_min,1):INDEX(H:H,ROW(X133),1))*Kcbmax_stop_irrig*IF(ROW(X133)-lig_kcbmax&gt;0,1,0),MIN(INDEX(H:H,ROW(X133),1):INDEX(H:H,lig_kcbmax,1))&gt;Kcbmin_start_irrig),MIN(MAX(V133-E133*Irri_man-C133,0),Lame_max),0)</f>
        <v>0</v>
      </c>
      <c r="Y133" s="99">
        <f ca="1">MIN(MAX(T133-C133-IF(fw&gt;0,X133/fw*Irri_auto+E133/fw*Irri_man,0),0),TEW)</f>
        <v>0</v>
      </c>
      <c r="Z133" s="99">
        <f ca="1">MIN(MAX(U133-C133,0),TEW)</f>
        <v>0</v>
      </c>
      <c r="AA133" s="99">
        <f ca="1">MIN(MAX(V133-C133-(X133*Irri_auto+E133*Irri_man),0),R133)</f>
        <v>0</v>
      </c>
      <c r="AB133" s="99">
        <f ca="1">MIN(MAX(W133+MIN(V133-C133-(X133*Irri_auto+E133*Irri_man),0),0),S133)</f>
        <v>0</v>
      </c>
      <c r="AC133" s="99">
        <f ca="1">-MIN(W133+MIN(V133-C133-(X133*Irri_auto+E133*Irri_man),0),0)</f>
        <v>1.65623478311775</v>
      </c>
      <c r="AD133" s="39">
        <f ca="1">IF(((R133-AA133)/P133-((Wfc-Wwp)*Ze-Y133)/Ze)/Wfc*DiffE&lt;0,MAX(((R133-AA133)/P133-((Wfc-Wwp)*Ze-Y133)/Ze)/Wfc*DiffE,(R133*Ze-((Wfc-Wwp)*Ze-Y133-AA133)*P133)/(P133+Ze)-AA133),MIN(((R133-AA133)/P133-((Wfc-Wwp)*Ze-Y133)/Ze)/Wfc*DiffE,(R133*Ze-((Wfc-Wwp)*Ze-Y133-AA133)*P133)/(P133+Ze)-AA133))</f>
        <v>0</v>
      </c>
      <c r="AE133" s="39">
        <f ca="1">IF(((R133-AA133)/P133-((Wfc-Wwp)*Ze-Z133)/Ze)/Wfc*DiffE&lt;0,MAX(((R133-AA133)/P133-((Wfc-Wwp)*Ze-Z133)/Ze)/Wfc*DiffE,(R133*Ze-((Wfc-Wwp)*Ze-Z133-AA133)*P133)/(P133+Ze)-AA133),MIN(((R133-AA133)/P133-((Wfc-Wwp)*Ze-Z133)/Ze)/Wfc*DiffE,(R133*Ze-((Wfc-Wwp)*Ze-Z133-AA133)*P133)/(P133+Ze)-AA133))</f>
        <v>0</v>
      </c>
      <c r="AF133" s="39">
        <f ca="1">IF(((S133-AB133)/Q133-(R133-AA133)/P133)/Wfc*DiffR&lt;0,MAX(((S133-AB133)/Q133-(R133-AA133)/P133)/Wfc*DiffR,(S133*P133-(R133-AA133-AB133)*Q133)/(P133+Q133)-AB133),MIN(((S133-AB133)/Q133-(R133-AA133)/P133)/Wfc*DiffR,(S133*P133-(R133-AA133-AB133)*Q133)/(P133+Q133)-AB133))</f>
        <v>0</v>
      </c>
      <c r="AG133" s="99">
        <f ca="1">MIN(MAX(Y133+IF(AU133&gt;0,B133*AZ133/AU133,0)+BE133-AD133,0),TEW)</f>
        <v>0.633973016116816</v>
      </c>
      <c r="AH133" s="99">
        <f ca="1">MIN(MAX(Z133+IF(AV133&gt;0,B133*BA133/AV133,0)+BF133-AE133,0),TEW)</f>
        <v>0.450519486763092</v>
      </c>
      <c r="AI133" s="99">
        <f ca="1" t="shared" si="12"/>
        <v>1.06003881471816</v>
      </c>
      <c r="AJ133" s="99">
        <f ca="1" t="shared" si="13"/>
        <v>0</v>
      </c>
      <c r="AK133" s="70">
        <f ca="1">IF((AU133+AV133)&gt;0,(TEW-(AG133*AU133+AH133*AV133)/(AU133+AV133))/TEW,(TEW-(AG133+AH133)/2)/TEW)</f>
        <v>0.980861191966285</v>
      </c>
      <c r="AL133" s="70">
        <f ca="1" t="shared" si="14"/>
        <v>0.983213622887283</v>
      </c>
      <c r="AM133" s="70">
        <f ca="1" t="shared" si="15"/>
        <v>1</v>
      </c>
      <c r="AN133" s="70">
        <f ca="1">Wwp+(Wfc-Wwp)*IF((AU133+AV133)&gt;0,(TEW-(AG133*AU133+AH133*AV133)/(AU133+AV133))/TEW,(TEW-(AG133+AH133)/2)/TEW)</f>
        <v>0.397511954955617</v>
      </c>
      <c r="AO133" s="70">
        <f ca="1">Wwp+(Wfc-Wwp)*(R133-AI133)/R133</f>
        <v>0.397817770975347</v>
      </c>
      <c r="AP133" s="70">
        <f ca="1">Wwp+(Wfc-Wwp)*(S133-AJ133)/S133</f>
        <v>0.4</v>
      </c>
      <c r="AQ133" s="70"/>
      <c r="AR133" s="70"/>
      <c r="AS133" s="70"/>
      <c r="AT133" s="70"/>
      <c r="AU133" s="70">
        <f ca="1">MIN((1-G133),fw)</f>
        <v>0.233333333333333</v>
      </c>
      <c r="AV133" s="70">
        <f ca="1" t="shared" si="16"/>
        <v>0</v>
      </c>
      <c r="AW133" s="70">
        <f ca="1">MIN((TEW-Y133)/(TEW-REW),1)</f>
        <v>0.12727820001996</v>
      </c>
      <c r="AX133" s="70">
        <f ca="1">MIN((TEW-Z133)/(TEW-REW),1)</f>
        <v>0.12727820001996</v>
      </c>
      <c r="AY133" s="70">
        <f ca="1">IF((AU133*(TEW-Y133))&gt;0,1/(1+((AV133*(TEW-Z133))/(AU133*(TEW-Y133)))),0)</f>
        <v>1</v>
      </c>
      <c r="AZ133" s="70">
        <f ca="1">MIN((AY133*AW133*(Kcmax-H133)),AU133*Kcmax)</f>
        <v>0.0363685841256322</v>
      </c>
      <c r="BA133" s="70">
        <f ca="1">MIN(((1-AY133)*AX133*(Kcmax-H133)),AV133*Kcmax)</f>
        <v>0</v>
      </c>
      <c r="BB133" s="70">
        <f ca="1" t="shared" si="17"/>
        <v>0.0428058235158691</v>
      </c>
      <c r="BC133" s="70">
        <f ca="1">MIN((R133-AA133)/(R133*(1-(p+0.04*(5-I132)))),1)</f>
        <v>1</v>
      </c>
      <c r="BD133" s="10">
        <f ca="1" t="shared" si="18"/>
        <v>1.01723299120229</v>
      </c>
      <c r="BE133" s="70">
        <f ca="1">MIN(IF((1-AA133/R133)&gt;0,(1-Y133/TEW)/(1-AA133/R133)*(Ze/P133)^0.6,0),1)*BC133*H133*B133</f>
        <v>0.450519486763092</v>
      </c>
      <c r="BF133" s="70">
        <f ca="1">MIN(IF((1-AA133/R133)&gt;0,(1-Z133/TEW)/(1-AA133/R133)*(Ze/P133)^0.6,0),1)*BC133*H133*B133</f>
        <v>0.450519486763092</v>
      </c>
      <c r="BH133" s="10">
        <f ca="1" t="shared" si="19"/>
        <v>0.00207152285623519</v>
      </c>
      <c r="BI133" s="10">
        <f ca="1">IF(F133&lt;&gt;"",(Moy_Etobs-F133)^2,"")</f>
        <v>0.253330793492873</v>
      </c>
    </row>
    <row r="134" spans="1:61">
      <c r="A134" s="38">
        <v>39127</v>
      </c>
      <c r="B134" s="10">
        <v>1.331</v>
      </c>
      <c r="C134" s="39">
        <v>0.198</v>
      </c>
      <c r="D134">
        <v>0.728</v>
      </c>
      <c r="E134" s="39">
        <v>0</v>
      </c>
      <c r="F134" s="10">
        <v>1.137969</v>
      </c>
      <c r="G134" s="10">
        <f ca="1">MIN(MAX(IF(AND(Durpla&gt;ROW()-MATCH(NDVImax,INDEX(D:D,Lig_min,1):INDEX(D:D,Lig_max,1),0)-Lig_min+1,ROW()-MATCH(NDVImax,INDEX(D:D,Lig_min,1):INDEX(D:D,Lig_max,1),0)-Lig_min+1&gt;0,D134*a_fc+b_fc&gt;fc_fin),NDVImax*a_fc+b_fc,D134*a_fc+b_fc),0),1)</f>
        <v>0.770666666666667</v>
      </c>
      <c r="H134" s="55">
        <f>MIN(MAX(D134*a_kcb+b_kcb,0),Kcmax)</f>
        <v>0.868768303963542</v>
      </c>
      <c r="I134" s="70">
        <f ca="1" t="shared" si="11"/>
        <v>1.20334626347541</v>
      </c>
      <c r="O134" s="55"/>
      <c r="P134" s="35">
        <f ca="1">IF(ROW()-MATCH(NDVImax,INDEX(D:D,Lig_min,1):INDEX(D:D,Lig_max,1),0)-Lig_min+1&gt;0,MAX(MIN(Zr_min+MAX(INDEX(G:G,Lig_min,1):INDEX(G:G,Lig_max,1))/MAX(MAX(INDEX(G:G,Lig_min,1):INDEX(G:G,Lig_max,1)),Max_fc_pour_Zrmax)*(Zr_max-Zr_min),Zr_max),Ze+0.001),MAX(MIN(Zr_min+G134/MAX(MAX(INDEX(G:G,Lig_min,1):INDEX(G:G,Lig_max,1)),Max_fc_pour_Zrmax)*(Zr_max-Zr_min),Zr_max),Ze+0.001))</f>
        <v>487.641877707714</v>
      </c>
      <c r="Q134" s="35">
        <f ca="1">IF(Z_sol&gt;0,Z_sol-P134,0.1)</f>
        <v>126.23267335672</v>
      </c>
      <c r="R134" s="35">
        <f ca="1">(Wfc-Wwp)*P134</f>
        <v>63.3934441020028</v>
      </c>
      <c r="S134" s="35">
        <f ca="1">(Wfc-Wwp)*Q134</f>
        <v>16.4102475363736</v>
      </c>
      <c r="T134" s="99">
        <f ca="1" t="shared" si="20"/>
        <v>0.633973016116816</v>
      </c>
      <c r="U134" s="99">
        <f ca="1" t="shared" si="21"/>
        <v>0.450519486763092</v>
      </c>
      <c r="V134" s="99">
        <f ca="1">IF(P134&gt;P133,IF(Q134&gt;1,MAX(AI133+(Wfc-Wwp)*(P134-P133)*AJ133/S133,0),AI133/P133*P134),MAX(AI133+(Wfc-Wwp)*(P134-P133)*AI133/R133,0))</f>
        <v>1.06003881471816</v>
      </c>
      <c r="W134" s="99">
        <f ca="1">IF(S134&gt;1,IF(P134&gt;P133,MAX(AJ133-(Wfc-Wwp)*(P134-P133)*AJ133/S133,0),MAX(AJ133-(Wfc-Wwp)*(P134-P133)*AI133/R133,0)),0)</f>
        <v>0</v>
      </c>
      <c r="X134" s="99">
        <f ca="1">IF(AND(OR(AND(dec_vide_TAW&lt;0,V134&gt;R134*(p+0.04*(5-I133))),AND(dec_vide_TAW&gt;0,V134&gt;R134*dec_vide_TAW)),H134&gt;MAX(INDEX(H:H,Lig_min,1):INDEX(H:H,ROW(X134),1))*Kcbmax_stop_irrig*IF(ROW(X134)-lig_kcbmax&gt;0,1,0),MIN(INDEX(H:H,ROW(X134),1):INDEX(H:H,lig_kcbmax,1))&gt;Kcbmin_start_irrig),MIN(MAX(V134-E134*Irri_man-C134,0),Lame_max),0)</f>
        <v>0</v>
      </c>
      <c r="Y134" s="99">
        <f ca="1">MIN(MAX(T134-C134-IF(fw&gt;0,X134/fw*Irri_auto+E134/fw*Irri_man,0),0),TEW)</f>
        <v>0.435973016116816</v>
      </c>
      <c r="Z134" s="99">
        <f ca="1">MIN(MAX(U134-C134,0),TEW)</f>
        <v>0.252519486763092</v>
      </c>
      <c r="AA134" s="99">
        <f ca="1">MIN(MAX(V134-C134-(X134*Irri_auto+E134*Irri_man),0),R134)</f>
        <v>0.862038814718164</v>
      </c>
      <c r="AB134" s="99">
        <f ca="1">MIN(MAX(W134+MIN(V134-C134-(X134*Irri_auto+E134*Irri_man),0),0),S134)</f>
        <v>0</v>
      </c>
      <c r="AC134" s="99">
        <f ca="1">-MIN(W134+MIN(V134-C134-(X134*Irri_auto+E134*Irri_man),0),0)</f>
        <v>0</v>
      </c>
      <c r="AD134" s="39">
        <f ca="1">IF(((R134-AA134)/P134-((Wfc-Wwp)*Ze-Y134)/Ze)/Wfc*DiffE&lt;0,MAX(((R134-AA134)/P134-((Wfc-Wwp)*Ze-Y134)/Ze)/Wfc*DiffE,(R134*Ze-((Wfc-Wwp)*Ze-Y134-AA134)*P134)/(P134+Ze)-AA134),MIN(((R134-AA134)/P134-((Wfc-Wwp)*Ze-Y134)/Ze)/Wfc*DiffE,(R134*Ze-((Wfc-Wwp)*Ze-Y134-AA134)*P134)/(P134+Ze)-AA134))</f>
        <v>4.30003464272494e-9</v>
      </c>
      <c r="AE134" s="39">
        <f ca="1">IF(((R134-AA134)/P134-((Wfc-Wwp)*Ze-Z134)/Ze)/Wfc*DiffE&lt;0,MAX(((R134-AA134)/P134-((Wfc-Wwp)*Ze-Z134)/Ze)/Wfc*DiffE,(R134*Ze-((Wfc-Wwp)*Ze-Z134-AA134)*P134)/(P134+Ze)-AA134),MIN(((R134-AA134)/P134-((Wfc-Wwp)*Ze-Z134)/Ze)/Wfc*DiffE,(R134*Ze-((Wfc-Wwp)*Ze-Z134-AA134)*P134)/(P134+Ze)-AA134))</f>
        <v>6.30964055650385e-10</v>
      </c>
      <c r="AF134" s="39">
        <f ca="1">IF(((S134-AB134)/Q134-(R134-AA134)/P134)/Wfc*DiffR&lt;0,MAX(((S134-AB134)/Q134-(R134-AA134)/P134)/Wfc*DiffR,(S134*P134-(R134-AA134-AB134)*Q134)/(P134+Q134)-AB134),MIN(((S134-AB134)/Q134-(R134-AA134)/P134)/Wfc*DiffR,(S134*P134-(R134-AA134-AB134)*Q134)/(P134+Q134)-AB134))</f>
        <v>4.41942567961144e-9</v>
      </c>
      <c r="AG134" s="99">
        <f ca="1">MIN(MAX(Y134+IF(AU134&gt;0,B134*AZ134/AU134,0)+BE134-AD134,0),TEW)</f>
        <v>1.15214645747453</v>
      </c>
      <c r="AH134" s="99">
        <f ca="1">MIN(MAX(Z134+IF(AV134&gt;0,B134*BA134/AV134,0)+BF134-AE134,0),TEW)</f>
        <v>0.766551517161031</v>
      </c>
      <c r="AI134" s="99">
        <f ca="1" t="shared" si="12"/>
        <v>2.06538507377414</v>
      </c>
      <c r="AJ134" s="99">
        <f ca="1" t="shared" si="13"/>
        <v>4.41942567961144e-9</v>
      </c>
      <c r="AK134" s="70">
        <f ca="1">IF((AU134+AV134)&gt;0,(TEW-(AG134*AU134+AH134*AV134)/(AU134+AV134))/TEW,(TEW-(AG134+AH134)/2)/TEW)</f>
        <v>0.965218220151712</v>
      </c>
      <c r="AL134" s="70">
        <f ca="1" t="shared" si="14"/>
        <v>0.967419579373999</v>
      </c>
      <c r="AM134" s="70">
        <f ca="1" t="shared" si="15"/>
        <v>0.999999999730691</v>
      </c>
      <c r="AN134" s="70">
        <f ca="1">Wwp+(Wfc-Wwp)*IF((AU134+AV134)&gt;0,(TEW-(AG134*AU134+AH134*AV134)/(AU134+AV134))/TEW,(TEW-(AG134+AH134)/2)/TEW)</f>
        <v>0.395478368619723</v>
      </c>
      <c r="AO134" s="70">
        <f ca="1">Wwp+(Wfc-Wwp)*(R134-AI134)/R134</f>
        <v>0.39576454531862</v>
      </c>
      <c r="AP134" s="70">
        <f ca="1">Wwp+(Wfc-Wwp)*(S134-AJ134)/S134</f>
        <v>0.39999999996499</v>
      </c>
      <c r="AQ134" s="70"/>
      <c r="AR134" s="70"/>
      <c r="AS134" s="70"/>
      <c r="AT134" s="70"/>
      <c r="AU134" s="70">
        <f ca="1">MIN((1-G134),fw)</f>
        <v>0.229333333333333</v>
      </c>
      <c r="AV134" s="70">
        <f ca="1" t="shared" si="16"/>
        <v>0</v>
      </c>
      <c r="AW134" s="70">
        <f ca="1">MIN((TEW-Y134)/(TEW-REW),1)</f>
        <v>0.125603034412455</v>
      </c>
      <c r="AX134" s="70">
        <f ca="1">MIN((TEW-Z134)/(TEW-REW),1)</f>
        <v>0.126307929054068</v>
      </c>
      <c r="AY134" s="70">
        <f ca="1">IF((AU134*(TEW-Y134))&gt;0,1/(1+((AV134*(TEW-Z134))/(AU134*(TEW-Y134)))),0)</f>
        <v>1</v>
      </c>
      <c r="AZ134" s="70">
        <f ca="1">MIN((AY134*AW134*(Kcmax-H134)),AU134*Kcmax)</f>
        <v>0.0353235543951402</v>
      </c>
      <c r="BA134" s="70">
        <f ca="1">MIN(((1-AY134)*AX134*(Kcmax-H134)),AV134*Kcmax)</f>
        <v>0</v>
      </c>
      <c r="BB134" s="70">
        <f ca="1" t="shared" si="17"/>
        <v>0.0470156508999316</v>
      </c>
      <c r="BC134" s="70">
        <f ca="1">MIN((R134-AA134)/(R134*(1-(p+0.04*(5-I133)))),1)</f>
        <v>1</v>
      </c>
      <c r="BD134" s="10">
        <f ca="1" t="shared" si="18"/>
        <v>1.15633061257547</v>
      </c>
      <c r="BE134" s="70">
        <f ca="1">MIN(IF((1-AA134/R134)&gt;0,(1-Y134/TEW)/(1-AA134/R134)*(Ze/P134)^0.6,0),1)*BC134*H134*B134</f>
        <v>0.511163339989444</v>
      </c>
      <c r="BF134" s="70">
        <f ca="1">MIN(IF((1-AA134/R134)&gt;0,(1-Z134/TEW)/(1-AA134/R134)*(Ze/P134)^0.6,0),1)*BC134*H134*B134</f>
        <v>0.514032031028903</v>
      </c>
      <c r="BH134" s="10">
        <f ca="1" t="shared" si="19"/>
        <v>0.00427418657953268</v>
      </c>
      <c r="BI134" s="10">
        <f ca="1">IF(F134&lt;&gt;"",(Moy_Etobs-F134)^2,"")</f>
        <v>0.221750174690023</v>
      </c>
    </row>
    <row r="135" spans="1:61">
      <c r="A135" s="38">
        <v>39128</v>
      </c>
      <c r="B135" s="10">
        <v>1.569</v>
      </c>
      <c r="C135" s="39">
        <v>0.198</v>
      </c>
      <c r="D135">
        <v>0.731</v>
      </c>
      <c r="E135" s="39">
        <v>0</v>
      </c>
      <c r="F135"/>
      <c r="G135" s="10">
        <f ca="1">MIN(MAX(IF(AND(Durpla&gt;ROW()-MATCH(NDVImax,INDEX(D:D,Lig_min,1):INDEX(D:D,Lig_max,1),0)-Lig_min+1,ROW()-MATCH(NDVImax,INDEX(D:D,Lig_min,1):INDEX(D:D,Lig_max,1),0)-Lig_min+1&gt;0,D135*a_fc+b_fc&gt;fc_fin),NDVImax*a_fc+b_fc,D135*a_fc+b_fc),0),1)</f>
        <v>0.774666666666667</v>
      </c>
      <c r="H135" s="55">
        <f>MIN(MAX(D135*a_kcb+b_kcb,0),Kcmax)</f>
        <v>0.873277482011796</v>
      </c>
      <c r="I135" s="70">
        <f ca="1" t="shared" si="11"/>
        <v>1.42384194547071</v>
      </c>
      <c r="O135" s="55"/>
      <c r="P135" s="35">
        <f ca="1">IF(ROW()-MATCH(NDVImax,INDEX(D:D,Lig_min,1):INDEX(D:D,Lig_max,1),0)-Lig_min+1&gt;0,MAX(MIN(Zr_min+MAX(INDEX(G:G,Lig_min,1):INDEX(G:G,Lig_max,1))/MAX(MAX(INDEX(G:G,Lig_min,1):INDEX(G:G,Lig_max,1)),Max_fc_pour_Zrmax)*(Zr_max-Zr_min),Zr_max),Ze+0.001),MAX(MIN(Zr_min+G135/MAX(MAX(INDEX(G:G,Lig_min,1):INDEX(G:G,Lig_max,1)),Max_fc_pour_Zrmax)*(Zr_max-Zr_min),Zr_max),Ze+0.001))</f>
        <v>489.524101986474</v>
      </c>
      <c r="Q135" s="35">
        <f ca="1">IF(Z_sol&gt;0,Z_sol-P135,0.1)</f>
        <v>124.350449077961</v>
      </c>
      <c r="R135" s="35">
        <f ca="1">(Wfc-Wwp)*P135</f>
        <v>63.6381332582416</v>
      </c>
      <c r="S135" s="35">
        <f ca="1">(Wfc-Wwp)*Q135</f>
        <v>16.1655583801349</v>
      </c>
      <c r="T135" s="99">
        <f ca="1" t="shared" si="20"/>
        <v>1.15214645747453</v>
      </c>
      <c r="U135" s="99">
        <f ca="1" t="shared" si="21"/>
        <v>0.766551517161031</v>
      </c>
      <c r="V135" s="99">
        <f ca="1">IF(P135&gt;P134,IF(Q135&gt;1,MAX(AI134+(Wfc-Wwp)*(P135-P134)*AJ134/S134,0),AI134/P134*P135),MAX(AI134+(Wfc-Wwp)*(P135-P134)*AI134/R134,0))</f>
        <v>2.06538507384004</v>
      </c>
      <c r="W135" s="99">
        <f ca="1">IF(S135&gt;1,IF(P135&gt;P134,MAX(AJ134-(Wfc-Wwp)*(P135-P134)*AJ134/S134,0),MAX(AJ134-(Wfc-Wwp)*(P135-P134)*AI134/R134,0)),0)</f>
        <v>4.35352871259695e-9</v>
      </c>
      <c r="X135" s="99">
        <f ca="1">IF(AND(OR(AND(dec_vide_TAW&lt;0,V135&gt;R135*(p+0.04*(5-I134))),AND(dec_vide_TAW&gt;0,V135&gt;R135*dec_vide_TAW)),H135&gt;MAX(INDEX(H:H,Lig_min,1):INDEX(H:H,ROW(X135),1))*Kcbmax_stop_irrig*IF(ROW(X135)-lig_kcbmax&gt;0,1,0),MIN(INDEX(H:H,ROW(X135),1):INDEX(H:H,lig_kcbmax,1))&gt;Kcbmin_start_irrig),MIN(MAX(V135-E135*Irri_man-C135,0),Lame_max),0)</f>
        <v>0</v>
      </c>
      <c r="Y135" s="99">
        <f ca="1">MIN(MAX(T135-C135-IF(fw&gt;0,X135/fw*Irri_auto+E135/fw*Irri_man,0),0),TEW)</f>
        <v>0.954146457474532</v>
      </c>
      <c r="Z135" s="99">
        <f ca="1">MIN(MAX(U135-C135,0),TEW)</f>
        <v>0.56855151716103</v>
      </c>
      <c r="AA135" s="99">
        <f ca="1">MIN(MAX(V135-C135-(X135*Irri_auto+E135*Irri_man),0),R135)</f>
        <v>1.86738507384004</v>
      </c>
      <c r="AB135" s="99">
        <f ca="1">MIN(MAX(W135+MIN(V135-C135-(X135*Irri_auto+E135*Irri_man),0),0),S135)</f>
        <v>4.35352871259695e-9</v>
      </c>
      <c r="AC135" s="99">
        <f ca="1">-MIN(W135+MIN(V135-C135-(X135*Irri_auto+E135*Irri_man),0),0)</f>
        <v>0</v>
      </c>
      <c r="AD135" s="39">
        <f ca="1">IF(((R135-AA135)/P135-((Wfc-Wwp)*Ze-Y135)/Ze)/Wfc*DiffE&lt;0,MAX(((R135-AA135)/P135-((Wfc-Wwp)*Ze-Y135)/Ze)/Wfc*DiffE,(R135*Ze-((Wfc-Wwp)*Ze-Y135-AA135)*P135)/(P135+Ze)-AA135),MIN(((R135-AA135)/P135-((Wfc-Wwp)*Ze-Y135)/Ze)/Wfc*DiffE,(R135*Ze-((Wfc-Wwp)*Ze-Y135-AA135)*P135)/(P135+Ze)-AA135))</f>
        <v>9.54619200895838e-9</v>
      </c>
      <c r="AE135" s="39">
        <f ca="1">IF(((R135-AA135)/P135-((Wfc-Wwp)*Ze-Z135)/Ze)/Wfc*DiffE&lt;0,MAX(((R135-AA135)/P135-((Wfc-Wwp)*Ze-Z135)/Ze)/Wfc*DiffE,(R135*Ze-((Wfc-Wwp)*Ze-Z135-AA135)*P135)/(P135+Ze)-AA135),MIN(((R135-AA135)/P135-((Wfc-Wwp)*Ze-Z135)/Ze)/Wfc*DiffE,(R135*Ze-((Wfc-Wwp)*Ze-Z135-AA135)*P135)/(P135+Ze)-AA135))</f>
        <v>1.83429320268831e-9</v>
      </c>
      <c r="AF135" s="39">
        <f ca="1">IF(((S135-AB135)/Q135-(R135-AA135)/P135)/Wfc*DiffR&lt;0,MAX(((S135-AB135)/Q135-(R135-AA135)/P135)/Wfc*DiffR,(S135*P135-(R135-AA135-AB135)*Q135)/(P135+Q135)-AB135),MIN(((S135-AB135)/Q135-(R135-AA135)/P135)/Wfc*DiffR,(S135*P135-(R135-AA135-AB135)*Q135)/(P135+Q135)-AB135))</f>
        <v>9.53673705300695e-9</v>
      </c>
      <c r="AG135" s="99">
        <f ca="1">MIN(MAX(Y135+IF(AU135&gt;0,B135*AZ135/AU135,0)+BE135-AD135,0),TEW)</f>
        <v>1.79668826849742</v>
      </c>
      <c r="AH135" s="99">
        <f ca="1">MIN(MAX(Z135+IF(AV135&gt;0,B135*BA135/AV135,0)+BF135-AE135,0),TEW)</f>
        <v>1.18015854872455</v>
      </c>
      <c r="AI135" s="99">
        <f ca="1" t="shared" si="12"/>
        <v>3.29122700977401</v>
      </c>
      <c r="AJ135" s="99">
        <f ca="1" t="shared" si="13"/>
        <v>1.38902657656039e-8</v>
      </c>
      <c r="AK135" s="70">
        <f ca="1">IF((AU135+AV135)&gt;0,(TEW-(AG135*AU135+AH135*AV135)/(AU135+AV135))/TEW,(TEW-(AG135+AH135)/2)/TEW)</f>
        <v>0.945760354158569</v>
      </c>
      <c r="AL135" s="70">
        <f ca="1" t="shared" si="14"/>
        <v>0.948282156605406</v>
      </c>
      <c r="AM135" s="70">
        <f ca="1" t="shared" si="15"/>
        <v>0.999999999140749</v>
      </c>
      <c r="AN135" s="70">
        <f ca="1">Wwp+(Wfc-Wwp)*IF((AU135+AV135)&gt;0,(TEW-(AG135*AU135+AH135*AV135)/(AU135+AV135))/TEW,(TEW-(AG135+AH135)/2)/TEW)</f>
        <v>0.392948846040614</v>
      </c>
      <c r="AO135" s="70">
        <f ca="1">Wwp+(Wfc-Wwp)*(R135-AI135)/R135</f>
        <v>0.393276680358703</v>
      </c>
      <c r="AP135" s="70">
        <f ca="1">Wwp+(Wfc-Wwp)*(S135-AJ135)/S135</f>
        <v>0.399999999888297</v>
      </c>
      <c r="AQ135" s="70"/>
      <c r="AR135" s="70"/>
      <c r="AS135" s="70"/>
      <c r="AT135" s="70"/>
      <c r="AU135" s="70">
        <f ca="1">MIN((1-G135),fw)</f>
        <v>0.225333333333333</v>
      </c>
      <c r="AV135" s="70">
        <f ca="1" t="shared" si="16"/>
        <v>0</v>
      </c>
      <c r="AW135" s="70">
        <f ca="1">MIN((TEW-Y135)/(TEW-REW),1)</f>
        <v>0.123612025116933</v>
      </c>
      <c r="AX135" s="70">
        <f ca="1">MIN((TEW-Z135)/(TEW-REW),1)</f>
        <v>0.125093619983043</v>
      </c>
      <c r="AY135" s="70">
        <f ca="1">IF((AU135*(TEW-Y135))&gt;0,1/(1+((AV135*(TEW-Z135))/(AU135*(TEW-Y135)))),0)</f>
        <v>1</v>
      </c>
      <c r="AZ135" s="70">
        <f ca="1">MIN((AY135*AW135*(Kcmax-H135)),AU135*Kcmax)</f>
        <v>0.0342062308439788</v>
      </c>
      <c r="BA135" s="70">
        <f ca="1">MIN(((1-AY135)*AX135*(Kcmax-H135)),AV135*Kcmax)</f>
        <v>0</v>
      </c>
      <c r="BB135" s="70">
        <f ca="1" t="shared" si="17"/>
        <v>0.0536695761942027</v>
      </c>
      <c r="BC135" s="70">
        <f ca="1">MIN((R135-AA135)/(R135*(1-(p+0.04*(5-I134)))),1)</f>
        <v>1</v>
      </c>
      <c r="BD135" s="10">
        <f ca="1" t="shared" si="18"/>
        <v>1.37017236927651</v>
      </c>
      <c r="BE135" s="70">
        <f ca="1">MIN(IF((1-AA135/R135)&gt;0,(1-Y135/TEW)/(1-AA135/R135)*(Ze/P135)^0.6,0),1)*BC135*H135*B135</f>
        <v>0.604363227991254</v>
      </c>
      <c r="BF135" s="70">
        <f ca="1">MIN(IF((1-AA135/R135)&gt;0,(1-Z135/TEW)/(1-AA135/R135)*(Ze/P135)^0.6,0),1)*BC135*H135*B135</f>
        <v>0.611607033397813</v>
      </c>
      <c r="BH135" s="10" t="str">
        <f ca="1" t="shared" si="19"/>
        <v/>
      </c>
      <c r="BI135" s="10" t="str">
        <f ca="1">IF(F135&lt;&gt;"",(Moy_Etobs-F135)^2,"")</f>
        <v/>
      </c>
    </row>
    <row r="136" spans="1:61">
      <c r="A136" s="38">
        <v>39129</v>
      </c>
      <c r="B136" s="10">
        <v>1.81</v>
      </c>
      <c r="C136" s="39">
        <v>0</v>
      </c>
      <c r="D136">
        <v>0.734</v>
      </c>
      <c r="E136" s="39">
        <v>0</v>
      </c>
      <c r="F136"/>
      <c r="G136" s="10">
        <f ca="1">MIN(MAX(IF(AND(Durpla&gt;ROW()-MATCH(NDVImax,INDEX(D:D,Lig_min,1):INDEX(D:D,Lig_max,1),0)-Lig_min+1,ROW()-MATCH(NDVImax,INDEX(D:D,Lig_min,1):INDEX(D:D,Lig_max,1),0)-Lig_min+1&gt;0,D136*a_fc+b_fc&gt;fc_fin),NDVImax*a_fc+b_fc,D136*a_fc+b_fc),0),1)</f>
        <v>0.778666666666667</v>
      </c>
      <c r="H136" s="55">
        <f>MIN(MAX(D136*a_kcb+b_kcb,0),Kcmax)</f>
        <v>0.87778666006005</v>
      </c>
      <c r="I136" s="70">
        <f ca="1" t="shared" si="11"/>
        <v>1.64810319707856</v>
      </c>
      <c r="O136" s="55"/>
      <c r="P136" s="35">
        <f ca="1">IF(ROW()-MATCH(NDVImax,INDEX(D:D,Lig_min,1):INDEX(D:D,Lig_max,1),0)-Lig_min+1&gt;0,MAX(MIN(Zr_min+MAX(INDEX(G:G,Lig_min,1):INDEX(G:G,Lig_max,1))/MAX(MAX(INDEX(G:G,Lig_min,1):INDEX(G:G,Lig_max,1)),Max_fc_pour_Zrmax)*(Zr_max-Zr_min),Zr_max),Ze+0.001),MAX(MIN(Zr_min+G136/MAX(MAX(INDEX(G:G,Lig_min,1):INDEX(G:G,Lig_max,1)),Max_fc_pour_Zrmax)*(Zr_max-Zr_min),Zr_max),Ze+0.001))</f>
        <v>491.406326265233</v>
      </c>
      <c r="Q136" s="35">
        <f ca="1">IF(Z_sol&gt;0,Z_sol-P136,0.1)</f>
        <v>122.468224799201</v>
      </c>
      <c r="R136" s="35">
        <f ca="1">(Wfc-Wwp)*P136</f>
        <v>63.8828224144803</v>
      </c>
      <c r="S136" s="35">
        <f ca="1">(Wfc-Wwp)*Q136</f>
        <v>15.9208692238961</v>
      </c>
      <c r="T136" s="99">
        <f ca="1" t="shared" si="20"/>
        <v>1.79668826849742</v>
      </c>
      <c r="U136" s="99">
        <f ca="1" t="shared" si="21"/>
        <v>1.18015854872455</v>
      </c>
      <c r="V136" s="99">
        <f ca="1">IF(P136&gt;P135,IF(Q136&gt;1,MAX(AI135+(Wfc-Wwp)*(P136-P135)*AJ135/S135,0),AI135/P135*P136),MAX(AI135+(Wfc-Wwp)*(P136-P135)*AI135/R135,0))</f>
        <v>3.29122700998426</v>
      </c>
      <c r="W136" s="99">
        <f ca="1">IF(S136&gt;1,IF(P136&gt;P135,MAX(AJ135-(Wfc-Wwp)*(P136-P135)*AJ135/S135,0),MAX(AJ135-(Wfc-Wwp)*(P136-P135)*AI135/R135,0)),0)</f>
        <v>1.36800164608663e-8</v>
      </c>
      <c r="X136" s="99">
        <f ca="1">IF(AND(OR(AND(dec_vide_TAW&lt;0,V136&gt;R136*(p+0.04*(5-I135))),AND(dec_vide_TAW&gt;0,V136&gt;R136*dec_vide_TAW)),H136&gt;MAX(INDEX(H:H,Lig_min,1):INDEX(H:H,ROW(X136),1))*Kcbmax_stop_irrig*IF(ROW(X136)-lig_kcbmax&gt;0,1,0),MIN(INDEX(H:H,ROW(X136),1):INDEX(H:H,lig_kcbmax,1))&gt;Kcbmin_start_irrig),MIN(MAX(V136-E136*Irri_man-C136,0),Lame_max),0)</f>
        <v>0</v>
      </c>
      <c r="Y136" s="99">
        <f ca="1">MIN(MAX(T136-C136-IF(fw&gt;0,X136/fw*Irri_auto+E136/fw*Irri_man,0),0),TEW)</f>
        <v>1.79668826849742</v>
      </c>
      <c r="Z136" s="99">
        <f ca="1">MIN(MAX(U136-C136,0),TEW)</f>
        <v>1.18015854872455</v>
      </c>
      <c r="AA136" s="99">
        <f ca="1">MIN(MAX(V136-C136-(X136*Irri_auto+E136*Irri_man),0),R136)</f>
        <v>3.29122700998426</v>
      </c>
      <c r="AB136" s="99">
        <f ca="1">MIN(MAX(W136+MIN(V136-C136-(X136*Irri_auto+E136*Irri_man),0),0),S136)</f>
        <v>1.36800164608663e-8</v>
      </c>
      <c r="AC136" s="99">
        <f ca="1">-MIN(W136+MIN(V136-C136-(X136*Irri_auto+E136*Irri_man),0),0)</f>
        <v>0</v>
      </c>
      <c r="AD136" s="39">
        <f ca="1">IF(((R136-AA136)/P136-((Wfc-Wwp)*Ze-Y136)/Ze)/Wfc*DiffE&lt;0,MAX(((R136-AA136)/P136-((Wfc-Wwp)*Ze-Y136)/Ze)/Wfc*DiffE,(R136*Ze-((Wfc-Wwp)*Ze-Y136-AA136)*P136)/(P136+Ze)-AA136),MIN(((R136-AA136)/P136-((Wfc-Wwp)*Ze-Y136)/Ze)/Wfc*DiffE,(R136*Ze-((Wfc-Wwp)*Ze-Y136-AA136)*P136)/(P136+Ze)-AA136))</f>
        <v>1.91898467731014e-8</v>
      </c>
      <c r="AE136" s="39">
        <f ca="1">IF(((R136-AA136)/P136-((Wfc-Wwp)*Ze-Z136)/Ze)/Wfc*DiffE&lt;0,MAX(((R136-AA136)/P136-((Wfc-Wwp)*Ze-Z136)/Ze)/Wfc*DiffE,(R136*Ze-((Wfc-Wwp)*Ze-Z136-AA136)*P136)/(P136+Ze)-AA136),MIN(((R136-AA136)/P136-((Wfc-Wwp)*Ze-Z136)/Ze)/Wfc*DiffE,(R136*Ze-((Wfc-Wwp)*Ze-Z136-AA136)*P136)/(P136+Ze)-AA136))</f>
        <v>6.85925237764409e-9</v>
      </c>
      <c r="AF136" s="39">
        <f ca="1">IF(((S136-AB136)/Q136-(R136-AA136)/P136)/Wfc*DiffR&lt;0,MAX(((S136-AB136)/Q136-(R136-AA136)/P136)/Wfc*DiffR,(S136*P136-(R136-AA136-AB136)*Q136)/(P136+Q136)-AB136),MIN(((S136-AB136)/Q136-(R136-AA136)/P136)/Wfc*DiffR,(S136*P136-(R136-AA136-AB136)*Q136)/(P136+Q136)-AB136))</f>
        <v>1.67439183175904e-8</v>
      </c>
      <c r="AG136" s="99">
        <f ca="1">MIN(MAX(Y136+IF(AU136&gt;0,B136*AZ136/AU136,0)+BE136-AD136,0),TEW)</f>
        <v>2.76144217170697</v>
      </c>
      <c r="AH136" s="99">
        <f ca="1">MIN(MAX(Z136+IF(AV136&gt;0,B136*BA136/AV136,0)+BF136-AE136,0),TEW)</f>
        <v>1.89066114095075</v>
      </c>
      <c r="AI136" s="99">
        <f ca="1" t="shared" si="12"/>
        <v>4.9393301903189</v>
      </c>
      <c r="AJ136" s="99">
        <f ca="1" t="shared" si="13"/>
        <v>3.04239347784568e-8</v>
      </c>
      <c r="AK136" s="70">
        <f ca="1">IF((AU136+AV136)&gt;0,(TEW-(AG136*AU136+AH136*AV136)/(AU136+AV136))/TEW,(TEW-(AG136+AH136)/2)/TEW)</f>
        <v>0.91663570802394</v>
      </c>
      <c r="AL136" s="70">
        <f ca="1" t="shared" si="14"/>
        <v>0.922681403174834</v>
      </c>
      <c r="AM136" s="70">
        <f ca="1" t="shared" si="15"/>
        <v>0.999999998089053</v>
      </c>
      <c r="AN136" s="70">
        <f ca="1">Wwp+(Wfc-Wwp)*IF((AU136+AV136)&gt;0,(TEW-(AG136*AU136+AH136*AV136)/(AU136+AV136))/TEW,(TEW-(AG136+AH136)/2)/TEW)</f>
        <v>0.389162642043112</v>
      </c>
      <c r="AO136" s="70">
        <f ca="1">Wwp+(Wfc-Wwp)*(R136-AI136)/R136</f>
        <v>0.389948582412728</v>
      </c>
      <c r="AP136" s="70">
        <f ca="1">Wwp+(Wfc-Wwp)*(S136-AJ136)/S136</f>
        <v>0.399999999751577</v>
      </c>
      <c r="AQ136" s="70"/>
      <c r="AR136" s="70"/>
      <c r="AS136" s="70"/>
      <c r="AT136" s="70"/>
      <c r="AU136" s="70">
        <f ca="1">MIN((1-G136),fw)</f>
        <v>0.221333333333333</v>
      </c>
      <c r="AV136" s="70">
        <f ca="1" t="shared" si="16"/>
        <v>0</v>
      </c>
      <c r="AW136" s="70">
        <f ca="1">MIN((TEW-Y136)/(TEW-REW),1)</f>
        <v>0.120374675527543</v>
      </c>
      <c r="AX136" s="70">
        <f ca="1">MIN((TEW-Z136)/(TEW-REW),1)</f>
        <v>0.122743605127286</v>
      </c>
      <c r="AY136" s="70">
        <f ca="1">IF((AU136*(TEW-Y136))&gt;0,1/(1+((AV136*(TEW-Z136))/(AU136*(TEW-Y136)))),0)</f>
        <v>1</v>
      </c>
      <c r="AZ136" s="70">
        <f ca="1">MIN((AY136*AW136*(Kcmax-H136)),AU136*Kcmax)</f>
        <v>0.0327675924695402</v>
      </c>
      <c r="BA136" s="70">
        <f ca="1">MIN(((1-AY136)*AX136*(Kcmax-H136)),AV136*Kcmax)</f>
        <v>0</v>
      </c>
      <c r="BB136" s="70">
        <f ca="1" t="shared" si="17"/>
        <v>0.0593093423698678</v>
      </c>
      <c r="BC136" s="70">
        <f ca="1">MIN((R136-AA136)/(R136*(1-(p+0.04*(5-I135)))),1)</f>
        <v>1</v>
      </c>
      <c r="BD136" s="10">
        <f ca="1" t="shared" si="18"/>
        <v>1.58879385470869</v>
      </c>
      <c r="BE136" s="70">
        <f ca="1">MIN(IF((1-AA136/R136)&gt;0,(1-Y136/TEW)/(1-AA136/R136)*(Ze/P136)^0.6,0),1)*BC136*H136*B136</f>
        <v>0.696790026149997</v>
      </c>
      <c r="BF136" s="70">
        <f ca="1">MIN(IF((1-AA136/R136)&gt;0,(1-Z136/TEW)/(1-AA136/R136)*(Ze/P136)^0.6,0),1)*BC136*H136*B136</f>
        <v>0.710502599085449</v>
      </c>
      <c r="BH136" s="10" t="str">
        <f ca="1" t="shared" si="19"/>
        <v/>
      </c>
      <c r="BI136" s="10" t="str">
        <f ca="1">IF(F136&lt;&gt;"",(Moy_Etobs-F136)^2,"")</f>
        <v/>
      </c>
    </row>
    <row r="137" spans="1:61">
      <c r="A137" s="38">
        <v>39130</v>
      </c>
      <c r="B137" s="10">
        <v>1.223</v>
      </c>
      <c r="C137" s="39">
        <v>0</v>
      </c>
      <c r="D137">
        <v>0.737</v>
      </c>
      <c r="E137" s="39">
        <v>0</v>
      </c>
      <c r="F137"/>
      <c r="G137" s="10">
        <f ca="1">MIN(MAX(IF(AND(Durpla&gt;ROW()-MATCH(NDVImax,INDEX(D:D,Lig_min,1):INDEX(D:D,Lig_max,1),0)-Lig_min+1,ROW()-MATCH(NDVImax,INDEX(D:D,Lig_min,1):INDEX(D:D,Lig_max,1),0)-Lig_min+1&gt;0,D137*a_fc+b_fc&gt;fc_fin),NDVImax*a_fc+b_fc,D137*a_fc+b_fc),0),1)</f>
        <v>0.782666666666667</v>
      </c>
      <c r="H137" s="55">
        <f>MIN(MAX(D137*a_kcb+b_kcb,0),Kcmax)</f>
        <v>0.882295838108303</v>
      </c>
      <c r="I137" s="70">
        <f ca="1" t="shared" si="11"/>
        <v>1.11724508456341</v>
      </c>
      <c r="O137" s="55"/>
      <c r="P137" s="35">
        <f ca="1">IF(ROW()-MATCH(NDVImax,INDEX(D:D,Lig_min,1):INDEX(D:D,Lig_max,1),0)-Lig_min+1&gt;0,MAX(MIN(Zr_min+MAX(INDEX(G:G,Lig_min,1):INDEX(G:G,Lig_max,1))/MAX(MAX(INDEX(G:G,Lig_min,1):INDEX(G:G,Lig_max,1)),Max_fc_pour_Zrmax)*(Zr_max-Zr_min),Zr_max),Ze+0.001),MAX(MIN(Zr_min+G137/MAX(MAX(INDEX(G:G,Lig_min,1):INDEX(G:G,Lig_max,1)),Max_fc_pour_Zrmax)*(Zr_max-Zr_min),Zr_max),Ze+0.001))</f>
        <v>493.288550543993</v>
      </c>
      <c r="Q137" s="35">
        <f ca="1">IF(Z_sol&gt;0,Z_sol-P137,0.1)</f>
        <v>120.586000520441</v>
      </c>
      <c r="R137" s="35">
        <f ca="1">(Wfc-Wwp)*P137</f>
        <v>64.1275115707191</v>
      </c>
      <c r="S137" s="35">
        <f ca="1">(Wfc-Wwp)*Q137</f>
        <v>15.6761800676573</v>
      </c>
      <c r="T137" s="99">
        <f ca="1" t="shared" si="20"/>
        <v>2.76144217170697</v>
      </c>
      <c r="U137" s="99">
        <f ca="1" t="shared" si="21"/>
        <v>1.89066114095075</v>
      </c>
      <c r="V137" s="99">
        <f ca="1">IF(P137&gt;P136,IF(Q137&gt;1,MAX(AI136+(Wfc-Wwp)*(P137-P136)*AJ136/S136,0),AI136/P136*P137),MAX(AI136+(Wfc-Wwp)*(P137-P136)*AI136/R136,0))</f>
        <v>4.93933019078649</v>
      </c>
      <c r="W137" s="99">
        <f ca="1">IF(S137&gt;1,IF(P137&gt;P136,MAX(AJ136-(Wfc-Wwp)*(P137-P136)*AJ136/S136,0),MAX(AJ136-(Wfc-Wwp)*(P137-P136)*AI136/R136,0)),0)</f>
        <v>2.99563468078684e-8</v>
      </c>
      <c r="X137" s="99">
        <f ca="1">IF(AND(OR(AND(dec_vide_TAW&lt;0,V137&gt;R137*(p+0.04*(5-I136))),AND(dec_vide_TAW&gt;0,V137&gt;R137*dec_vide_TAW)),H137&gt;MAX(INDEX(H:H,Lig_min,1):INDEX(H:H,ROW(X137),1))*Kcbmax_stop_irrig*IF(ROW(X137)-lig_kcbmax&gt;0,1,0),MIN(INDEX(H:H,ROW(X137),1):INDEX(H:H,lig_kcbmax,1))&gt;Kcbmin_start_irrig),MIN(MAX(V137-E137*Irri_man-C137,0),Lame_max),0)</f>
        <v>0</v>
      </c>
      <c r="Y137" s="99">
        <f ca="1">MIN(MAX(T137-C137-IF(fw&gt;0,X137/fw*Irri_auto+E137/fw*Irri_man,0),0),TEW)</f>
        <v>2.76144217170697</v>
      </c>
      <c r="Z137" s="99">
        <f ca="1">MIN(MAX(U137-C137,0),TEW)</f>
        <v>1.89066114095075</v>
      </c>
      <c r="AA137" s="99">
        <f ca="1">MIN(MAX(V137-C137-(X137*Irri_auto+E137*Irri_man),0),R137)</f>
        <v>4.93933019078649</v>
      </c>
      <c r="AB137" s="99">
        <f ca="1">MIN(MAX(W137+MIN(V137-C137-(X137*Irri_auto+E137*Irri_man),0),0),S137)</f>
        <v>2.99563468078684e-8</v>
      </c>
      <c r="AC137" s="99">
        <f ca="1">-MIN(W137+MIN(V137-C137-(X137*Irri_auto+E137*Irri_man),0),0)</f>
        <v>0</v>
      </c>
      <c r="AD137" s="39">
        <f ca="1">IF(((R137-AA137)/P137-((Wfc-Wwp)*Ze-Y137)/Ze)/Wfc*DiffE&lt;0,MAX(((R137-AA137)/P137-((Wfc-Wwp)*Ze-Y137)/Ze)/Wfc*DiffE,(R137*Ze-((Wfc-Wwp)*Ze-Y137-AA137)*P137)/(P137+Ze)-AA137),MIN(((R137-AA137)/P137-((Wfc-Wwp)*Ze-Y137)/Ze)/Wfc*DiffE,(R137*Ze-((Wfc-Wwp)*Ze-Y137-AA137)*P137)/(P137+Ze)-AA137))</f>
        <v>3.01961815907849e-8</v>
      </c>
      <c r="AE137" s="39">
        <f ca="1">IF(((R137-AA137)/P137-((Wfc-Wwp)*Ze-Z137)/Ze)/Wfc*DiffE&lt;0,MAX(((R137-AA137)/P137-((Wfc-Wwp)*Ze-Z137)/Ze)/Wfc*DiffE,(R137*Ze-((Wfc-Wwp)*Ze-Z137-AA137)*P137)/(P137+Ze)-AA137),MIN(((R137-AA137)/P137-((Wfc-Wwp)*Ze-Z137)/Ze)/Wfc*DiffE,(R137*Ze-((Wfc-Wwp)*Ze-Z137-AA137)*P137)/(P137+Ze)-AA137))</f>
        <v>1.27805609756605e-8</v>
      </c>
      <c r="AF137" s="39">
        <f ca="1">IF(((S137-AB137)/Q137-(R137-AA137)/P137)/Wfc*DiffR&lt;0,MAX(((S137-AB137)/Q137-(R137-AA137)/P137)/Wfc*DiffR,(S137*P137-(R137-AA137-AB137)*Q137)/(P137+Q137)-AB137),MIN(((S137-AB137)/Q137-(R137-AA137)/P137)/Wfc*DiffR,(S137*P137-(R137-AA137-AB137)*Q137)/(P137+Q137)-AB137))</f>
        <v>2.50326612222967e-8</v>
      </c>
      <c r="AG137" s="99">
        <f ca="1">MIN(MAX(Y137+IF(AU137&gt;0,B137*AZ137/AU137,0)+BE137-AD137,0),TEW)</f>
        <v>3.40745018962985</v>
      </c>
      <c r="AH137" s="99">
        <f ca="1">MIN(MAX(Z137+IF(AV137&gt;0,B137*BA137/AV137,0)+BF137-AE137,0),TEW)</f>
        <v>2.37440101267405</v>
      </c>
      <c r="AI137" s="99">
        <f ca="1" t="shared" si="12"/>
        <v>6.05657525031724</v>
      </c>
      <c r="AJ137" s="99">
        <f ca="1" t="shared" si="13"/>
        <v>5.49890080301652e-8</v>
      </c>
      <c r="AK137" s="70">
        <f ca="1">IF((AU137+AV137)&gt;0,(TEW-(AG137*AU137+AH137*AV137)/(AU137+AV137))/TEW,(TEW-(AG137+AH137)/2)/TEW)</f>
        <v>0.897133579180986</v>
      </c>
      <c r="AL137" s="70">
        <f ca="1" t="shared" si="14"/>
        <v>0.905554182565807</v>
      </c>
      <c r="AM137" s="70">
        <f ca="1" t="shared" si="15"/>
        <v>0.999999996492193</v>
      </c>
      <c r="AN137" s="70">
        <f ca="1">Wwp+(Wfc-Wwp)*IF((AU137+AV137)&gt;0,(TEW-(AG137*AU137+AH137*AV137)/(AU137+AV137))/TEW,(TEW-(AG137+AH137)/2)/TEW)</f>
        <v>0.386627365293528</v>
      </c>
      <c r="AO137" s="70">
        <f ca="1">Wwp+(Wfc-Wwp)*(R137-AI137)/R137</f>
        <v>0.387722043733555</v>
      </c>
      <c r="AP137" s="70">
        <f ca="1">Wwp+(Wfc-Wwp)*(S137-AJ137)/S137</f>
        <v>0.399999999543985</v>
      </c>
      <c r="AQ137" s="70"/>
      <c r="AR137" s="70"/>
      <c r="AS137" s="70"/>
      <c r="AT137" s="70"/>
      <c r="AU137" s="70">
        <f ca="1">MIN((1-G137),fw)</f>
        <v>0.217333333333333</v>
      </c>
      <c r="AV137" s="70">
        <f ca="1" t="shared" si="16"/>
        <v>0</v>
      </c>
      <c r="AW137" s="70">
        <f ca="1">MIN((TEW-Y137)/(TEW-REW),1)</f>
        <v>0.116667742991309</v>
      </c>
      <c r="AX137" s="70">
        <f ca="1">MIN((TEW-Z137)/(TEW-REW),1)</f>
        <v>0.120013597850363</v>
      </c>
      <c r="AY137" s="70">
        <f ca="1">IF((AU137*(TEW-Y137))&gt;0,1/(1+((AV137*(TEW-Z137))/(AU137*(TEW-Y137)))),0)</f>
        <v>1</v>
      </c>
      <c r="AZ137" s="70">
        <f ca="1">MIN((AY137*AW137*(Kcmax-H137)),AU137*Kcmax)</f>
        <v>0.0312324403572842</v>
      </c>
      <c r="BA137" s="70">
        <f ca="1">MIN(((1-AY137)*AX137*(Kcmax-H137)),AV137*Kcmax)</f>
        <v>0</v>
      </c>
      <c r="BB137" s="70">
        <f ca="1" t="shared" si="17"/>
        <v>0.0381972745569586</v>
      </c>
      <c r="BC137" s="70">
        <f ca="1">MIN((R137-AA137)/(R137*(1-(p+0.04*(5-I136)))),1)</f>
        <v>1</v>
      </c>
      <c r="BD137" s="10">
        <f ca="1" t="shared" si="18"/>
        <v>1.07904781000646</v>
      </c>
      <c r="BE137" s="70">
        <f ca="1">MIN(IF((1-AA137/R137)&gt;0,(1-Y137/TEW)/(1-AA137/R137)*(Ze/P137)^0.6,0),1)*BC137*H137*B137</f>
        <v>0.470253717335509</v>
      </c>
      <c r="BF137" s="70">
        <f ca="1">MIN(IF((1-AA137/R137)&gt;0,(1-Z137/TEW)/(1-AA137/R137)*(Ze/P137)^0.6,0),1)*BC137*H137*B137</f>
        <v>0.483739884503863</v>
      </c>
      <c r="BH137" s="10" t="str">
        <f ca="1" t="shared" si="19"/>
        <v/>
      </c>
      <c r="BI137" s="10" t="str">
        <f ca="1">IF(F137&lt;&gt;"",(Moy_Etobs-F137)^2,"")</f>
        <v/>
      </c>
    </row>
    <row r="138" spans="1:61">
      <c r="A138" s="38">
        <v>39131</v>
      </c>
      <c r="B138" s="10">
        <v>0.598</v>
      </c>
      <c r="C138" s="39">
        <v>6.93</v>
      </c>
      <c r="D138">
        <v>0.74</v>
      </c>
      <c r="E138" s="39">
        <v>0</v>
      </c>
      <c r="F138"/>
      <c r="G138" s="10">
        <f ca="1">MIN(MAX(IF(AND(Durpla&gt;ROW()-MATCH(NDVImax,INDEX(D:D,Lig_min,1):INDEX(D:D,Lig_max,1),0)-Lig_min+1,ROW()-MATCH(NDVImax,INDEX(D:D,Lig_min,1):INDEX(D:D,Lig_max,1),0)-Lig_min+1&gt;0,D138*a_fc+b_fc&gt;fc_fin),NDVImax*a_fc+b_fc,D138*a_fc+b_fc),0),1)</f>
        <v>0.786666666666667</v>
      </c>
      <c r="H138" s="55">
        <f>MIN(MAX(D138*a_kcb+b_kcb,0),Kcmax)</f>
        <v>0.886805016156557</v>
      </c>
      <c r="I138" s="70">
        <f ca="1" t="shared" si="11"/>
        <v>0.550341791972751</v>
      </c>
      <c r="O138" s="55"/>
      <c r="P138" s="35">
        <f ca="1">IF(ROW()-MATCH(NDVImax,INDEX(D:D,Lig_min,1):INDEX(D:D,Lig_max,1),0)-Lig_min+1&gt;0,MAX(MIN(Zr_min+MAX(INDEX(G:G,Lig_min,1):INDEX(G:G,Lig_max,1))/MAX(MAX(INDEX(G:G,Lig_min,1):INDEX(G:G,Lig_max,1)),Max_fc_pour_Zrmax)*(Zr_max-Zr_min),Zr_max),Ze+0.001),MAX(MIN(Zr_min+G138/MAX(MAX(INDEX(G:G,Lig_min,1):INDEX(G:G,Lig_max,1)),Max_fc_pour_Zrmax)*(Zr_max-Zr_min),Zr_max),Ze+0.001))</f>
        <v>495.170774822753</v>
      </c>
      <c r="Q138" s="35">
        <f ca="1">IF(Z_sol&gt;0,Z_sol-P138,0.1)</f>
        <v>118.703776241681</v>
      </c>
      <c r="R138" s="35">
        <f ca="1">(Wfc-Wwp)*P138</f>
        <v>64.3722007269579</v>
      </c>
      <c r="S138" s="35">
        <f ca="1">(Wfc-Wwp)*Q138</f>
        <v>15.4314909114186</v>
      </c>
      <c r="T138" s="99">
        <f ca="1" t="shared" si="20"/>
        <v>3.40745018962985</v>
      </c>
      <c r="U138" s="99">
        <f ca="1" t="shared" si="21"/>
        <v>2.37440101267405</v>
      </c>
      <c r="V138" s="99">
        <f ca="1">IF(P138&gt;P137,IF(Q138&gt;1,MAX(AI137+(Wfc-Wwp)*(P138-P137)*AJ137/S137,0),AI137/P137*P138),MAX(AI137+(Wfc-Wwp)*(P138-P137)*AI137/R137,0))</f>
        <v>6.05657525117557</v>
      </c>
      <c r="W138" s="99">
        <f ca="1">IF(S138&gt;1,IF(P138&gt;P137,MAX(AJ137-(Wfc-Wwp)*(P138-P137)*AJ137/S137,0),MAX(AJ137-(Wfc-Wwp)*(P138-P137)*AI137/R137,0)),0)</f>
        <v>5.41306857909949e-8</v>
      </c>
      <c r="X138" s="99">
        <f ca="1">IF(AND(OR(AND(dec_vide_TAW&lt;0,V138&gt;R138*(p+0.04*(5-I137))),AND(dec_vide_TAW&gt;0,V138&gt;R138*dec_vide_TAW)),H138&gt;MAX(INDEX(H:H,Lig_min,1):INDEX(H:H,ROW(X138),1))*Kcbmax_stop_irrig*IF(ROW(X138)-lig_kcbmax&gt;0,1,0),MIN(INDEX(H:H,ROW(X138),1):INDEX(H:H,lig_kcbmax,1))&gt;Kcbmin_start_irrig),MIN(MAX(V138-E138*Irri_man-C138,0),Lame_max),0)</f>
        <v>0</v>
      </c>
      <c r="Y138" s="99">
        <f ca="1">MIN(MAX(T138-C138-IF(fw&gt;0,X138/fw*Irri_auto+E138/fw*Irri_man,0),0),TEW)</f>
        <v>0</v>
      </c>
      <c r="Z138" s="99">
        <f ca="1">MIN(MAX(U138-C138,0),TEW)</f>
        <v>0</v>
      </c>
      <c r="AA138" s="99">
        <f ca="1">MIN(MAX(V138-C138-(X138*Irri_auto+E138*Irri_man),0),R138)</f>
        <v>0</v>
      </c>
      <c r="AB138" s="99">
        <f ca="1">MIN(MAX(W138+MIN(V138-C138-(X138*Irri_auto+E138*Irri_man),0),0),S138)</f>
        <v>0</v>
      </c>
      <c r="AC138" s="99">
        <f ca="1">-MIN(W138+MIN(V138-C138-(X138*Irri_auto+E138*Irri_man),0),0)</f>
        <v>0.873424694693748</v>
      </c>
      <c r="AD138" s="39">
        <f ca="1">IF(((R138-AA138)/P138-((Wfc-Wwp)*Ze-Y138)/Ze)/Wfc*DiffE&lt;0,MAX(((R138-AA138)/P138-((Wfc-Wwp)*Ze-Y138)/Ze)/Wfc*DiffE,(R138*Ze-((Wfc-Wwp)*Ze-Y138-AA138)*P138)/(P138+Ze)-AA138),MIN(((R138-AA138)/P138-((Wfc-Wwp)*Ze-Y138)/Ze)/Wfc*DiffE,(R138*Ze-((Wfc-Wwp)*Ze-Y138-AA138)*P138)/(P138+Ze)-AA138))</f>
        <v>0</v>
      </c>
      <c r="AE138" s="39">
        <f ca="1">IF(((R138-AA138)/P138-((Wfc-Wwp)*Ze-Z138)/Ze)/Wfc*DiffE&lt;0,MAX(((R138-AA138)/P138-((Wfc-Wwp)*Ze-Z138)/Ze)/Wfc*DiffE,(R138*Ze-((Wfc-Wwp)*Ze-Z138-AA138)*P138)/(P138+Ze)-AA138),MIN(((R138-AA138)/P138-((Wfc-Wwp)*Ze-Z138)/Ze)/Wfc*DiffE,(R138*Ze-((Wfc-Wwp)*Ze-Z138-AA138)*P138)/(P138+Ze)-AA138))</f>
        <v>0</v>
      </c>
      <c r="AF138" s="39">
        <f ca="1">IF(((S138-AB138)/Q138-(R138-AA138)/P138)/Wfc*DiffR&lt;0,MAX(((S138-AB138)/Q138-(R138-AA138)/P138)/Wfc*DiffR,(S138*P138-(R138-AA138-AB138)*Q138)/(P138+Q138)-AB138),MIN(((S138-AB138)/Q138-(R138-AA138)/P138)/Wfc*DiffR,(S138*P138-(R138-AA138-AB138)*Q138)/(P138+Q138)-AB138))</f>
        <v>0</v>
      </c>
      <c r="AG138" s="99">
        <f ca="1">MIN(MAX(Y138+IF(AU138&gt;0,B138*AZ138/AU138,0)+BE138-AD138,0),TEW)</f>
        <v>0.326080514841472</v>
      </c>
      <c r="AH138" s="99">
        <f ca="1">MIN(MAX(Z138+IF(AV138&gt;0,B138*BA138/AV138,0)+BF138-AE138,0),TEW)</f>
        <v>0.232178675883051</v>
      </c>
      <c r="AI138" s="99">
        <f ca="1" t="shared" si="12"/>
        <v>0.550341791972751</v>
      </c>
      <c r="AJ138" s="99">
        <f ca="1" t="shared" si="13"/>
        <v>0</v>
      </c>
      <c r="AK138" s="70">
        <f ca="1">IF((AU138+AV138)&gt;0,(TEW-(AG138*AU138+AH138*AV138)/(AU138+AV138))/TEW,(TEW-(AG138+AH138)/2)/TEW)</f>
        <v>0.990156059929314</v>
      </c>
      <c r="AL138" s="70">
        <f ca="1" t="shared" si="14"/>
        <v>0.991450629530174</v>
      </c>
      <c r="AM138" s="70">
        <f ca="1" t="shared" si="15"/>
        <v>1</v>
      </c>
      <c r="AN138" s="70">
        <f ca="1">Wwp+(Wfc-Wwp)*IF((AU138+AV138)&gt;0,(TEW-(AG138*AU138+AH138*AV138)/(AU138+AV138))/TEW,(TEW-(AG138+AH138)/2)/TEW)</f>
        <v>0.398720287790811</v>
      </c>
      <c r="AO138" s="70">
        <f ca="1">Wwp+(Wfc-Wwp)*(R138-AI138)/R138</f>
        <v>0.398888581838923</v>
      </c>
      <c r="AP138" s="70">
        <f ca="1">Wwp+(Wfc-Wwp)*(S138-AJ138)/S138</f>
        <v>0.4</v>
      </c>
      <c r="AQ138" s="70"/>
      <c r="AR138" s="70"/>
      <c r="AS138" s="70"/>
      <c r="AT138" s="70"/>
      <c r="AU138" s="70">
        <f ca="1">MIN((1-G138),fw)</f>
        <v>0.213333333333333</v>
      </c>
      <c r="AV138" s="70">
        <f ca="1" t="shared" si="16"/>
        <v>0</v>
      </c>
      <c r="AW138" s="70">
        <f ca="1">MIN((TEW-Y138)/(TEW-REW),1)</f>
        <v>0.12727820001996</v>
      </c>
      <c r="AX138" s="70">
        <f ca="1">MIN((TEW-Z138)/(TEW-REW),1)</f>
        <v>0.12727820001996</v>
      </c>
      <c r="AY138" s="70">
        <f ca="1">IF((AU138*(TEW-Y138))&gt;0,1/(1+((AV138*(TEW-Z138))/(AU138*(TEW-Y138)))),0)</f>
        <v>1</v>
      </c>
      <c r="AZ138" s="70">
        <f ca="1">MIN((AY138*AW138*(Kcmax-H138)),AU138*Kcmax)</f>
        <v>0.033498983797876</v>
      </c>
      <c r="BA138" s="70">
        <f ca="1">MIN(((1-AY138)*AX138*(Kcmax-H138)),AV138*Kcmax)</f>
        <v>0</v>
      </c>
      <c r="BB138" s="70">
        <f ca="1" t="shared" si="17"/>
        <v>0.0200323923111298</v>
      </c>
      <c r="BC138" s="70">
        <f ca="1">MIN((R138-AA138)/(R138*(1-(p+0.04*(5-I137)))),1)</f>
        <v>1</v>
      </c>
      <c r="BD138" s="10">
        <f ca="1" t="shared" si="18"/>
        <v>0.530309399661621</v>
      </c>
      <c r="BE138" s="70">
        <f ca="1">MIN(IF((1-AA138/R138)&gt;0,(1-Y138/TEW)/(1-AA138/R138)*(Ze/P138)^0.6,0),1)*BC138*H138*B138</f>
        <v>0.232178675883051</v>
      </c>
      <c r="BF138" s="70">
        <f ca="1">MIN(IF((1-AA138/R138)&gt;0,(1-Z138/TEW)/(1-AA138/R138)*(Ze/P138)^0.6,0),1)*BC138*H138*B138</f>
        <v>0.232178675883051</v>
      </c>
      <c r="BH138" s="10" t="str">
        <f ca="1" t="shared" si="19"/>
        <v/>
      </c>
      <c r="BI138" s="10" t="str">
        <f ca="1">IF(F138&lt;&gt;"",(Moy_Etobs-F138)^2,"")</f>
        <v/>
      </c>
    </row>
    <row r="139" spans="1:61">
      <c r="A139" s="38">
        <v>39132</v>
      </c>
      <c r="B139" s="10">
        <v>1.176</v>
      </c>
      <c r="C139" s="39">
        <v>0</v>
      </c>
      <c r="D139">
        <v>0.744</v>
      </c>
      <c r="E139" s="39">
        <v>0</v>
      </c>
      <c r="F139"/>
      <c r="G139" s="10">
        <f ca="1">MIN(MAX(IF(AND(Durpla&gt;ROW()-MATCH(NDVImax,INDEX(D:D,Lig_min,1):INDEX(D:D,Lig_max,1),0)-Lig_min+1,ROW()-MATCH(NDVImax,INDEX(D:D,Lig_min,1):INDEX(D:D,Lig_max,1),0)-Lig_min+1&gt;0,D139*a_fc+b_fc&gt;fc_fin),NDVImax*a_fc+b_fc,D139*a_fc+b_fc),0),1)</f>
        <v>0.792</v>
      </c>
      <c r="H139" s="55">
        <f>MIN(MAX(D139*a_kcb+b_kcb,0),Kcmax)</f>
        <v>0.892817253554229</v>
      </c>
      <c r="I139" s="70">
        <f ca="1" t="shared" si="11"/>
        <v>1.08806904699156</v>
      </c>
      <c r="O139" s="55"/>
      <c r="P139" s="35">
        <f ca="1">IF(ROW()-MATCH(NDVImax,INDEX(D:D,Lig_min,1):INDEX(D:D,Lig_max,1),0)-Lig_min+1&gt;0,MAX(MIN(Zr_min+MAX(INDEX(G:G,Lig_min,1):INDEX(G:G,Lig_max,1))/MAX(MAX(INDEX(G:G,Lig_min,1):INDEX(G:G,Lig_max,1)),Max_fc_pour_Zrmax)*(Zr_max-Zr_min),Zr_max),Ze+0.001),MAX(MIN(Zr_min+G139/MAX(MAX(INDEX(G:G,Lig_min,1):INDEX(G:G,Lig_max,1)),Max_fc_pour_Zrmax)*(Zr_max-Zr_min),Zr_max),Ze+0.001))</f>
        <v>497.680407194433</v>
      </c>
      <c r="Q139" s="35">
        <f ca="1">IF(Z_sol&gt;0,Z_sol-P139,0.1)</f>
        <v>116.194143870002</v>
      </c>
      <c r="R139" s="35">
        <f ca="1">(Wfc-Wwp)*P139</f>
        <v>64.6984529352762</v>
      </c>
      <c r="S139" s="35">
        <f ca="1">(Wfc-Wwp)*Q139</f>
        <v>15.1052387031002</v>
      </c>
      <c r="T139" s="99">
        <f ca="1" t="shared" si="20"/>
        <v>0.326080514841472</v>
      </c>
      <c r="U139" s="99">
        <f ca="1" t="shared" si="21"/>
        <v>0.232178675883051</v>
      </c>
      <c r="V139" s="99">
        <f ca="1">IF(P139&gt;P138,IF(Q139&gt;1,MAX(AI138+(Wfc-Wwp)*(P139-P138)*AJ138/S138,0),AI138/P138*P139),MAX(AI138+(Wfc-Wwp)*(P139-P138)*AI138/R138,0))</f>
        <v>0.550341791972751</v>
      </c>
      <c r="W139" s="99">
        <f ca="1">IF(S139&gt;1,IF(P139&gt;P138,MAX(AJ138-(Wfc-Wwp)*(P139-P138)*AJ138/S138,0),MAX(AJ138-(Wfc-Wwp)*(P139-P138)*AI138/R138,0)),0)</f>
        <v>0</v>
      </c>
      <c r="X139" s="99">
        <f ca="1">IF(AND(OR(AND(dec_vide_TAW&lt;0,V139&gt;R139*(p+0.04*(5-I138))),AND(dec_vide_TAW&gt;0,V139&gt;R139*dec_vide_TAW)),H139&gt;MAX(INDEX(H:H,Lig_min,1):INDEX(H:H,ROW(X139),1))*Kcbmax_stop_irrig*IF(ROW(X139)-lig_kcbmax&gt;0,1,0),MIN(INDEX(H:H,ROW(X139),1):INDEX(H:H,lig_kcbmax,1))&gt;Kcbmin_start_irrig),MIN(MAX(V139-E139*Irri_man-C139,0),Lame_max),0)</f>
        <v>0</v>
      </c>
      <c r="Y139" s="99">
        <f ca="1">MIN(MAX(T139-C139-IF(fw&gt;0,X139/fw*Irri_auto+E139/fw*Irri_man,0),0),TEW)</f>
        <v>0.326080514841472</v>
      </c>
      <c r="Z139" s="99">
        <f ca="1">MIN(MAX(U139-C139,0),TEW)</f>
        <v>0.232178675883051</v>
      </c>
      <c r="AA139" s="99">
        <f ca="1">MIN(MAX(V139-C139-(X139*Irri_auto+E139*Irri_man),0),R139)</f>
        <v>0.550341791972751</v>
      </c>
      <c r="AB139" s="99">
        <f ca="1">MIN(MAX(W139+MIN(V139-C139-(X139*Irri_auto+E139*Irri_man),0),0),S139)</f>
        <v>0</v>
      </c>
      <c r="AC139" s="99">
        <f ca="1">-MIN(W139+MIN(V139-C139-(X139*Irri_auto+E139*Irri_man),0),0)</f>
        <v>0</v>
      </c>
      <c r="AD139" s="39">
        <f ca="1">IF(((R139-AA139)/P139-((Wfc-Wwp)*Ze-Y139)/Ze)/Wfc*DiffE&lt;0,MAX(((R139-AA139)/P139-((Wfc-Wwp)*Ze-Y139)/Ze)/Wfc*DiffE,(R139*Ze-((Wfc-Wwp)*Ze-Y139-AA139)*P139)/(P139+Ze)-AA139),MIN(((R139-AA139)/P139-((Wfc-Wwp)*Ze-Y139)/Ze)/Wfc*DiffE,(R139*Ze-((Wfc-Wwp)*Ze-Y139-AA139)*P139)/(P139+Ze)-AA139))</f>
        <v>3.7570761499299e-9</v>
      </c>
      <c r="AE139" s="39">
        <f ca="1">IF(((R139-AA139)/P139-((Wfc-Wwp)*Ze-Z139)/Ze)/Wfc*DiffE&lt;0,MAX(((R139-AA139)/P139-((Wfc-Wwp)*Ze-Z139)/Ze)/Wfc*DiffE,(R139*Ze-((Wfc-Wwp)*Ze-Z139-AA139)*P139)/(P139+Ze)-AA139),MIN(((R139-AA139)/P139-((Wfc-Wwp)*Ze-Z139)/Ze)/Wfc*DiffE,(R139*Ze-((Wfc-Wwp)*Ze-Z139-AA139)*P139)/(P139+Ze)-AA139))</f>
        <v>1.87903937076156e-9</v>
      </c>
      <c r="AF139" s="39">
        <f ca="1">IF(((S139-AB139)/Q139-(R139-AA139)/P139)/Wfc*DiffR&lt;0,MAX(((S139-AB139)/Q139-(R139-AA139)/P139)/Wfc*DiffR,(S139*P139-(R139-AA139-AB139)*Q139)/(P139+Q139)-AB139),MIN(((S139-AB139)/Q139-(R139-AA139)/P139)/Wfc*DiffR,(S139*P139-(R139-AA139-AB139)*Q139)/(P139+Q139)-AB139))</f>
        <v>2.76453414689952e-9</v>
      </c>
      <c r="AG139" s="99">
        <f ca="1">MIN(MAX(Y139+IF(AU139&gt;0,B139*AZ139/AU139,0)+BE139-AD139,0),TEW)</f>
        <v>0.967007474605361</v>
      </c>
      <c r="AH139" s="99">
        <f ca="1">MIN(MAX(Z139+IF(AV139&gt;0,B139*BA139/AV139,0)+BF139-AE139,0),TEW)</f>
        <v>0.691166154423707</v>
      </c>
      <c r="AI139" s="99">
        <f ca="1" t="shared" si="12"/>
        <v>1.63841083619978</v>
      </c>
      <c r="AJ139" s="99">
        <f ca="1" t="shared" si="13"/>
        <v>2.76453414689952e-9</v>
      </c>
      <c r="AK139" s="70">
        <f ca="1">IF((AU139+AV139)&gt;0,(TEW-(AG139*AU139+AH139*AV139)/(AU139+AV139))/TEW,(TEW-(AG139+AH139)/2)/TEW)</f>
        <v>0.970807321521348</v>
      </c>
      <c r="AL139" s="70">
        <f ca="1" t="shared" si="14"/>
        <v>0.974676197623476</v>
      </c>
      <c r="AM139" s="70">
        <f ca="1" t="shared" si="15"/>
        <v>0.999999999816982</v>
      </c>
      <c r="AN139" s="70">
        <f ca="1">Wwp+(Wfc-Wwp)*IF((AU139+AV139)&gt;0,(TEW-(AG139*AU139+AH139*AV139)/(AU139+AV139))/TEW,(TEW-(AG139+AH139)/2)/TEW)</f>
        <v>0.396204951797775</v>
      </c>
      <c r="AO139" s="70">
        <f ca="1">Wwp+(Wfc-Wwp)*(R139-AI139)/R139</f>
        <v>0.396707905691052</v>
      </c>
      <c r="AP139" s="70">
        <f ca="1">Wwp+(Wfc-Wwp)*(S139-AJ139)/S139</f>
        <v>0.399999999976208</v>
      </c>
      <c r="AQ139" s="70"/>
      <c r="AR139" s="70"/>
      <c r="AS139" s="70"/>
      <c r="AT139" s="70"/>
      <c r="AU139" s="70">
        <f ca="1">MIN((1-G139),fw)</f>
        <v>0.208</v>
      </c>
      <c r="AV139" s="70">
        <f ca="1" t="shared" si="16"/>
        <v>0</v>
      </c>
      <c r="AW139" s="70">
        <f ca="1">MIN((TEW-Y139)/(TEW-REW),1)</f>
        <v>0.126025281046659</v>
      </c>
      <c r="AX139" s="70">
        <f ca="1">MIN((TEW-Z139)/(TEW-REW),1)</f>
        <v>0.126386085787525</v>
      </c>
      <c r="AY139" s="70">
        <f ca="1">IF((AU139*(TEW-Y139))&gt;0,1/(1+((AV139*(TEW-Z139))/(AU139*(TEW-Y139)))),0)</f>
        <v>1</v>
      </c>
      <c r="AZ139" s="70">
        <f ca="1">MIN((AY139*AW139*(Kcmax-H139)),AU139*Kcmax)</f>
        <v>0.03241152790118</v>
      </c>
      <c r="BA139" s="70">
        <f ca="1">MIN(((1-AY139)*AX139*(Kcmax-H139)),AV139*Kcmax)</f>
        <v>0</v>
      </c>
      <c r="BB139" s="70">
        <f ca="1" t="shared" si="17"/>
        <v>0.0381159568117877</v>
      </c>
      <c r="BC139" s="70">
        <f ca="1">MIN((R139-AA139)/(R139*(1-(p+0.04*(5-I138)))),1)</f>
        <v>1</v>
      </c>
      <c r="BD139" s="10">
        <f ca="1" t="shared" si="18"/>
        <v>1.04995309017977</v>
      </c>
      <c r="BE139" s="70">
        <f ca="1">MIN(IF((1-AA139/R139)&gt;0,(1-Y139/TEW)/(1-AA139/R139)*(Ze/P139)^0.6,0),1)*BC139*H139*B139</f>
        <v>0.457677171156601</v>
      </c>
      <c r="BF139" s="70">
        <f ca="1">MIN(IF((1-AA139/R139)&gt;0,(1-Z139/TEW)/(1-AA139/R139)*(Ze/P139)^0.6,0),1)*BC139*H139*B139</f>
        <v>0.458987480419695</v>
      </c>
      <c r="BH139" s="10" t="str">
        <f ca="1" t="shared" si="19"/>
        <v/>
      </c>
      <c r="BI139" s="10" t="str">
        <f ca="1">IF(F139&lt;&gt;"",(Moy_Etobs-F139)^2,"")</f>
        <v/>
      </c>
    </row>
    <row r="140" spans="1:61">
      <c r="A140" s="38">
        <v>39133</v>
      </c>
      <c r="B140" s="10">
        <v>0.977</v>
      </c>
      <c r="C140" s="39">
        <v>0.198</v>
      </c>
      <c r="D140">
        <v>0.747</v>
      </c>
      <c r="E140" s="39">
        <v>0</v>
      </c>
      <c r="F140"/>
      <c r="G140" s="10">
        <f ca="1">MIN(MAX(IF(AND(Durpla&gt;ROW()-MATCH(NDVImax,INDEX(D:D,Lig_min,1):INDEX(D:D,Lig_max,1),0)-Lig_min+1,ROW()-MATCH(NDVImax,INDEX(D:D,Lig_min,1):INDEX(D:D,Lig_max,1),0)-Lig_min+1&gt;0,D140*a_fc+b_fc&gt;fc_fin),NDVImax*a_fc+b_fc,D140*a_fc+b_fc),0),1)</f>
        <v>0.796</v>
      </c>
      <c r="H140" s="55">
        <f>MIN(MAX(D140*a_kcb+b_kcb,0),Kcmax)</f>
        <v>0.897326431602482</v>
      </c>
      <c r="I140" s="70">
        <f ca="1" t="shared" si="11"/>
        <v>0.90737865531801</v>
      </c>
      <c r="O140" s="55"/>
      <c r="P140" s="35">
        <f ca="1">IF(ROW()-MATCH(NDVImax,INDEX(D:D,Lig_min,1):INDEX(D:D,Lig_max,1),0)-Lig_min+1&gt;0,MAX(MIN(Zr_min+MAX(INDEX(G:G,Lig_min,1):INDEX(G:G,Lig_max,1))/MAX(MAX(INDEX(G:G,Lig_min,1):INDEX(G:G,Lig_max,1)),Max_fc_pour_Zrmax)*(Zr_max-Zr_min),Zr_max),Ze+0.001),MAX(MIN(Zr_min+G140/MAX(MAX(INDEX(G:G,Lig_min,1):INDEX(G:G,Lig_max,1)),Max_fc_pour_Zrmax)*(Zr_max-Zr_min),Zr_max),Ze+0.001))</f>
        <v>499.562631473192</v>
      </c>
      <c r="Q140" s="35">
        <f ca="1">IF(Z_sol&gt;0,Z_sol-P140,0.1)</f>
        <v>114.311919591242</v>
      </c>
      <c r="R140" s="35">
        <f ca="1">(Wfc-Wwp)*P140</f>
        <v>64.943142091515</v>
      </c>
      <c r="S140" s="35">
        <f ca="1">(Wfc-Wwp)*Q140</f>
        <v>14.8605495468614</v>
      </c>
      <c r="T140" s="99">
        <f ca="1" t="shared" si="20"/>
        <v>0.967007474605361</v>
      </c>
      <c r="U140" s="99">
        <f ca="1" t="shared" si="21"/>
        <v>0.691166154423707</v>
      </c>
      <c r="V140" s="99">
        <f ca="1">IF(P140&gt;P139,IF(Q140&gt;1,MAX(AI139+(Wfc-Wwp)*(P140-P139)*AJ139/S139,0),AI139/P139*P140),MAX(AI139+(Wfc-Wwp)*(P140-P139)*AI139/R139,0))</f>
        <v>1.63841083624456</v>
      </c>
      <c r="W140" s="99">
        <f ca="1">IF(S140&gt;1,IF(P140&gt;P139,MAX(AJ139-(Wfc-Wwp)*(P140-P139)*AJ139/S139,0),MAX(AJ139-(Wfc-Wwp)*(P140-P139)*AI139/R139,0)),0)</f>
        <v>2.71975156907377e-9</v>
      </c>
      <c r="X140" s="99">
        <f ca="1">IF(AND(OR(AND(dec_vide_TAW&lt;0,V140&gt;R140*(p+0.04*(5-I139))),AND(dec_vide_TAW&gt;0,V140&gt;R140*dec_vide_TAW)),H140&gt;MAX(INDEX(H:H,Lig_min,1):INDEX(H:H,ROW(X140),1))*Kcbmax_stop_irrig*IF(ROW(X140)-lig_kcbmax&gt;0,1,0),MIN(INDEX(H:H,ROW(X140),1):INDEX(H:H,lig_kcbmax,1))&gt;Kcbmin_start_irrig),MIN(MAX(V140-E140*Irri_man-C140,0),Lame_max),0)</f>
        <v>0</v>
      </c>
      <c r="Y140" s="99">
        <f ca="1">MIN(MAX(T140-C140-IF(fw&gt;0,X140/fw*Irri_auto+E140/fw*Irri_man,0),0),TEW)</f>
        <v>0.769007474605361</v>
      </c>
      <c r="Z140" s="99">
        <f ca="1">MIN(MAX(U140-C140,0),TEW)</f>
        <v>0.493166154423707</v>
      </c>
      <c r="AA140" s="99">
        <f ca="1">MIN(MAX(V140-C140-(X140*Irri_auto+E140*Irri_man),0),R140)</f>
        <v>1.44041083624456</v>
      </c>
      <c r="AB140" s="99">
        <f ca="1">MIN(MAX(W140+MIN(V140-C140-(X140*Irri_auto+E140*Irri_man),0),0),S140)</f>
        <v>2.71975156907377e-9</v>
      </c>
      <c r="AC140" s="99">
        <f ca="1">-MIN(W140+MIN(V140-C140-(X140*Irri_auto+E140*Irri_man),0),0)</f>
        <v>0</v>
      </c>
      <c r="AD140" s="39">
        <f ca="1">IF(((R140-AA140)/P140-((Wfc-Wwp)*Ze-Y140)/Ze)/Wfc*DiffE&lt;0,MAX(((R140-AA140)/P140-((Wfc-Wwp)*Ze-Y140)/Ze)/Wfc*DiffE,(R140*Ze-((Wfc-Wwp)*Ze-Y140-AA140)*P140)/(P140+Ze)-AA140),MIN(((R140-AA140)/P140-((Wfc-Wwp)*Ze-Y140)/Ze)/Wfc*DiffE,(R140*Ze-((Wfc-Wwp)*Ze-Y140-AA140)*P140)/(P140+Ze)-AA140))</f>
        <v>8.17178989164606e-9</v>
      </c>
      <c r="AE140" s="39">
        <f ca="1">IF(((R140-AA140)/P140-((Wfc-Wwp)*Ze-Z140)/Ze)/Wfc*DiffE&lt;0,MAX(((R140-AA140)/P140-((Wfc-Wwp)*Ze-Z140)/Ze)/Wfc*DiffE,(R140*Ze-((Wfc-Wwp)*Ze-Z140-AA140)*P140)/(P140+Ze)-AA140),MIN(((R140-AA140)/P140-((Wfc-Wwp)*Ze-Z140)/Ze)/Wfc*DiffE,(R140*Ze-((Wfc-Wwp)*Ze-Z140-AA140)*P140)/(P140+Ze)-AA140))</f>
        <v>2.65496348801297e-9</v>
      </c>
      <c r="AF140" s="39">
        <f ca="1">IF(((S140-AB140)/Q140-(R140-AA140)/P140)/Wfc*DiffR&lt;0,MAX(((S140-AB140)/Q140-(R140-AA140)/P140)/Wfc*DiffR,(S140*P140-(R140-AA140-AB140)*Q140)/(P140+Q140)-AB140),MIN(((S140-AB140)/Q140-(R140-AA140)/P140)/Wfc*DiffR,(S140*P140-(R140-AA140-AB140)*Q140)/(P140+Q140)-AB140))</f>
        <v>7.20835954098026e-9</v>
      </c>
      <c r="AG140" s="99">
        <f ca="1">MIN(MAX(Y140+IF(AU140&gt;0,B140*AZ140/AU140,0)+BE140-AD140,0),TEW)</f>
        <v>1.3008488116124</v>
      </c>
      <c r="AH140" s="99">
        <f ca="1">MIN(MAX(Z140+IF(AV140&gt;0,B140*BA140/AV140,0)+BF140-AE140,0),TEW)</f>
        <v>0.877814216287246</v>
      </c>
      <c r="AI140" s="99">
        <f ca="1" t="shared" si="12"/>
        <v>2.34778948435421</v>
      </c>
      <c r="AJ140" s="99">
        <f ca="1" t="shared" si="13"/>
        <v>9.92811111005403e-9</v>
      </c>
      <c r="AK140" s="70">
        <f ca="1">IF((AU140+AV140)&gt;0,(TEW-(AG140*AU140+AH140*AV140)/(AU140+AV140))/TEW,(TEW-(AG140+AH140)/2)/TEW)</f>
        <v>0.960729092479626</v>
      </c>
      <c r="AL140" s="70">
        <f ca="1" t="shared" si="14"/>
        <v>0.963848538756474</v>
      </c>
      <c r="AM140" s="70">
        <f ca="1" t="shared" si="15"/>
        <v>0.999999999331915</v>
      </c>
      <c r="AN140" s="70">
        <f ca="1">Wwp+(Wfc-Wwp)*IF((AU140+AV140)&gt;0,(TEW-(AG140*AU140+AH140*AV140)/(AU140+AV140))/TEW,(TEW-(AG140+AH140)/2)/TEW)</f>
        <v>0.394894782022351</v>
      </c>
      <c r="AO140" s="70">
        <f ca="1">Wwp+(Wfc-Wwp)*(R140-AI140)/R140</f>
        <v>0.395300310038342</v>
      </c>
      <c r="AP140" s="70">
        <f ca="1">Wwp+(Wfc-Wwp)*(S140-AJ140)/S140</f>
        <v>0.399999999913149</v>
      </c>
      <c r="AQ140" s="70"/>
      <c r="AR140" s="70"/>
      <c r="AS140" s="70"/>
      <c r="AT140" s="70"/>
      <c r="AU140" s="70">
        <f ca="1">MIN((1-G140),fw)</f>
        <v>0.204</v>
      </c>
      <c r="AV140" s="70">
        <f ca="1" t="shared" si="16"/>
        <v>0</v>
      </c>
      <c r="AW140" s="70">
        <f ca="1">MIN((TEW-Y140)/(TEW-REW),1)</f>
        <v>0.124323395878989</v>
      </c>
      <c r="AX140" s="70">
        <f ca="1">MIN((TEW-Z140)/(TEW-REW),1)</f>
        <v>0.125383277742351</v>
      </c>
      <c r="AY140" s="70">
        <f ca="1">IF((AU140*(TEW-Y140))&gt;0,1/(1+((AV140*(TEW-Z140))/(AU140*(TEW-Y140)))),0)</f>
        <v>1</v>
      </c>
      <c r="AZ140" s="70">
        <f ca="1">MIN((AY140*AW140*(Kcmax-H140)),AU140*Kcmax)</f>
        <v>0.0314132360720415</v>
      </c>
      <c r="BA140" s="70">
        <f ca="1">MIN(((1-AY140)*AX140*(Kcmax-H140)),AV140*Kcmax)</f>
        <v>0</v>
      </c>
      <c r="BB140" s="70">
        <f ca="1" t="shared" si="17"/>
        <v>0.0306907316423845</v>
      </c>
      <c r="BC140" s="70">
        <f ca="1">MIN((R140-AA140)/(R140*(1-(p+0.04*(5-I139)))),1)</f>
        <v>1</v>
      </c>
      <c r="BD140" s="10">
        <f ca="1" t="shared" si="18"/>
        <v>0.876687923675625</v>
      </c>
      <c r="BE140" s="70">
        <f ca="1">MIN(IF((1-AA140/R140)&gt;0,(1-Y140/TEW)/(1-AA140/R140)*(Ze/P140)^0.6,0),1)*BC140*H140*B140</f>
        <v>0.38139658222596</v>
      </c>
      <c r="BF140" s="70">
        <f ca="1">MIN(IF((1-AA140/R140)&gt;0,(1-Z140/TEW)/(1-AA140/R140)*(Ze/P140)^0.6,0),1)*BC140*H140*B140</f>
        <v>0.384648064518503</v>
      </c>
      <c r="BH140" s="10" t="str">
        <f ca="1" t="shared" si="19"/>
        <v/>
      </c>
      <c r="BI140" s="10" t="str">
        <f ca="1">IF(F140&lt;&gt;"",(Moy_Etobs-F140)^2,"")</f>
        <v/>
      </c>
    </row>
    <row r="141" spans="1:61">
      <c r="A141" s="38">
        <v>39134</v>
      </c>
      <c r="B141" s="10">
        <v>0.664</v>
      </c>
      <c r="C141" s="39">
        <v>0</v>
      </c>
      <c r="D141">
        <v>0.75</v>
      </c>
      <c r="E141" s="39">
        <v>0</v>
      </c>
      <c r="F141" s="10">
        <v>0.402543</v>
      </c>
      <c r="G141" s="10">
        <f ca="1">MIN(MAX(IF(AND(Durpla&gt;ROW()-MATCH(NDVImax,INDEX(D:D,Lig_min,1):INDEX(D:D,Lig_max,1),0)-Lig_min+1,ROW()-MATCH(NDVImax,INDEX(D:D,Lig_min,1):INDEX(D:D,Lig_max,1),0)-Lig_min+1&gt;0,D141*a_fc+b_fc&gt;fc_fin),NDVImax*a_fc+b_fc,D141*a_fc+b_fc),0),1)</f>
        <v>0.8</v>
      </c>
      <c r="H141" s="55">
        <f>MIN(MAX(D141*a_kcb+b_kcb,0),Kcmax)</f>
        <v>0.901835609650736</v>
      </c>
      <c r="I141" s="70">
        <f ca="1" t="shared" si="11"/>
        <v>0.6189682629771</v>
      </c>
      <c r="O141" s="55"/>
      <c r="P141" s="35">
        <f ca="1">IF(ROW()-MATCH(NDVImax,INDEX(D:D,Lig_min,1):INDEX(D:D,Lig_max,1),0)-Lig_min+1&gt;0,MAX(MIN(Zr_min+MAX(INDEX(G:G,Lig_min,1):INDEX(G:G,Lig_max,1))/MAX(MAX(INDEX(G:G,Lig_min,1):INDEX(G:G,Lig_max,1)),Max_fc_pour_Zrmax)*(Zr_max-Zr_min),Zr_max),Ze+0.001),MAX(MIN(Zr_min+G141/MAX(MAX(INDEX(G:G,Lig_min,1):INDEX(G:G,Lig_max,1)),Max_fc_pour_Zrmax)*(Zr_max-Zr_min),Zr_max),Ze+0.001))</f>
        <v>501.444855751952</v>
      </c>
      <c r="Q141" s="35">
        <f ca="1">IF(Z_sol&gt;0,Z_sol-P141,0.1)</f>
        <v>112.429695312482</v>
      </c>
      <c r="R141" s="35">
        <f ca="1">(Wfc-Wwp)*P141</f>
        <v>65.1878312477538</v>
      </c>
      <c r="S141" s="35">
        <f ca="1">(Wfc-Wwp)*Q141</f>
        <v>14.6158603906227</v>
      </c>
      <c r="T141" s="99">
        <f ca="1" t="shared" si="20"/>
        <v>1.3008488116124</v>
      </c>
      <c r="U141" s="99">
        <f ca="1" t="shared" si="21"/>
        <v>0.877814216287246</v>
      </c>
      <c r="V141" s="99">
        <f ca="1">IF(P141&gt;P140,IF(Q141&gt;1,MAX(AI140+(Wfc-Wwp)*(P141-P140)*AJ140/S140,0),AI140/P140*P141),MAX(AI140+(Wfc-Wwp)*(P141-P140)*AI140/R140,0))</f>
        <v>2.34778948451768</v>
      </c>
      <c r="W141" s="99">
        <f ca="1">IF(S141&gt;1,IF(P141&gt;P140,MAX(AJ140-(Wfc-Wwp)*(P141-P140)*AJ140/S140,0),MAX(AJ140-(Wfc-Wwp)*(P141-P140)*AI140/R140,0)),0)</f>
        <v>9.76463794084832e-9</v>
      </c>
      <c r="X141" s="99">
        <f ca="1">IF(AND(OR(AND(dec_vide_TAW&lt;0,V141&gt;R141*(p+0.04*(5-I140))),AND(dec_vide_TAW&gt;0,V141&gt;R141*dec_vide_TAW)),H141&gt;MAX(INDEX(H:H,Lig_min,1):INDEX(H:H,ROW(X141),1))*Kcbmax_stop_irrig*IF(ROW(X141)-lig_kcbmax&gt;0,1,0),MIN(INDEX(H:H,ROW(X141),1):INDEX(H:H,lig_kcbmax,1))&gt;Kcbmin_start_irrig),MIN(MAX(V141-E141*Irri_man-C141,0),Lame_max),0)</f>
        <v>0</v>
      </c>
      <c r="Y141" s="99">
        <f ca="1">MIN(MAX(T141-C141-IF(fw&gt;0,X141/fw*Irri_auto+E141/fw*Irri_man,0),0),TEW)</f>
        <v>1.3008488116124</v>
      </c>
      <c r="Z141" s="99">
        <f ca="1">MIN(MAX(U141-C141,0),TEW)</f>
        <v>0.877814216287246</v>
      </c>
      <c r="AA141" s="99">
        <f ca="1">MIN(MAX(V141-C141-(X141*Irri_auto+E141*Irri_man),0),R141)</f>
        <v>2.34778948451768</v>
      </c>
      <c r="AB141" s="99">
        <f ca="1">MIN(MAX(W141+MIN(V141-C141-(X141*Irri_auto+E141*Irri_man),0),0),S141)</f>
        <v>9.76463794084832e-9</v>
      </c>
      <c r="AC141" s="99">
        <f ca="1">-MIN(W141+MIN(V141-C141-(X141*Irri_auto+E141*Irri_man),0),0)</f>
        <v>0</v>
      </c>
      <c r="AD141" s="39">
        <f ca="1">IF(((R141-AA141)/P141-((Wfc-Wwp)*Ze-Y141)/Ze)/Wfc*DiffE&lt;0,MAX(((R141-AA141)/P141-((Wfc-Wwp)*Ze-Y141)/Ze)/Wfc*DiffE,(R141*Ze-((Wfc-Wwp)*Ze-Y141-AA141)*P141)/(P141+Ze)-AA141),MIN(((R141-AA141)/P141-((Wfc-Wwp)*Ze-Y141)/Ze)/Wfc*DiffE,(R141*Ze-((Wfc-Wwp)*Ze-Y141-AA141)*P141)/(P141+Ze)-AA141))</f>
        <v>1.43118532382299e-8</v>
      </c>
      <c r="AE141" s="39">
        <f ca="1">IF(((R141-AA141)/P141-((Wfc-Wwp)*Ze-Z141)/Ze)/Wfc*DiffE&lt;0,MAX(((R141-AA141)/P141-((Wfc-Wwp)*Ze-Z141)/Ze)/Wfc*DiffE,(R141*Ze-((Wfc-Wwp)*Ze-Z141-AA141)*P141)/(P141+Ze)-AA141),MIN(((R141-AA141)/P141-((Wfc-Wwp)*Ze-Z141)/Ze)/Wfc*DiffE,(R141*Ze-((Wfc-Wwp)*Ze-Z141-AA141)*P141)/(P141+Ze)-AA141))</f>
        <v>5.85116133172695e-9</v>
      </c>
      <c r="AF141" s="39">
        <f ca="1">IF(((S141-AB141)/Q141-(R141-AA141)/P141)/Wfc*DiffR&lt;0,MAX(((S141-AB141)/Q141-(R141-AA141)/P141)/Wfc*DiffR,(S141*P141-(R141-AA141-AB141)*Q141)/(P141+Q141)-AB141),MIN(((S141-AB141)/Q141-(R141-AA141)/P141)/Wfc*DiffR,(S141*P141-(R141-AA141-AB141)*Q141)/(P141+Q141)-AB141))</f>
        <v>1.17051227768904e-8</v>
      </c>
      <c r="AG141" s="99">
        <f ca="1">MIN(MAX(Y141+IF(AU141&gt;0,B141*AZ141/AU141,0)+BE141-AD141,0),TEW)</f>
        <v>1.66091741404725</v>
      </c>
      <c r="AH141" s="99">
        <f ca="1">MIN(MAX(Z141+IF(AV141&gt;0,B141*BA141/AV141,0)+BF141-AE141,0),TEW)</f>
        <v>1.14058286603868</v>
      </c>
      <c r="AI141" s="99">
        <f ca="1" t="shared" si="12"/>
        <v>2.96675773578966</v>
      </c>
      <c r="AJ141" s="99">
        <f ca="1" t="shared" si="13"/>
        <v>2.14697607177387e-8</v>
      </c>
      <c r="AK141" s="70">
        <f ca="1">IF((AU141+AV141)&gt;0,(TEW-(AG141*AU141+AH141*AV141)/(AU141+AV141))/TEW,(TEW-(AG141+AH141)/2)/TEW)</f>
        <v>0.949859096934423</v>
      </c>
      <c r="AL141" s="70">
        <f ca="1" t="shared" si="14"/>
        <v>0.954489086705245</v>
      </c>
      <c r="AM141" s="70">
        <f ca="1" t="shared" si="15"/>
        <v>0.999999998531064</v>
      </c>
      <c r="AN141" s="70">
        <f ca="1">Wwp+(Wfc-Wwp)*IF((AU141+AV141)&gt;0,(TEW-(AG141*AU141+AH141*AV141)/(AU141+AV141))/TEW,(TEW-(AG141+AH141)/2)/TEW)</f>
        <v>0.393481682601475</v>
      </c>
      <c r="AO141" s="70">
        <f ca="1">Wwp+(Wfc-Wwp)*(R141-AI141)/R141</f>
        <v>0.394083581271682</v>
      </c>
      <c r="AP141" s="70">
        <f ca="1">Wwp+(Wfc-Wwp)*(S141-AJ141)/S141</f>
        <v>0.399999999809038</v>
      </c>
      <c r="AQ141" s="70"/>
      <c r="AR141" s="70"/>
      <c r="AS141" s="70"/>
      <c r="AT141" s="70"/>
      <c r="AU141" s="70">
        <f ca="1">MIN((1-G141),fw)</f>
        <v>0.2</v>
      </c>
      <c r="AV141" s="70">
        <f ca="1" t="shared" si="16"/>
        <v>0</v>
      </c>
      <c r="AW141" s="70">
        <f ca="1">MIN((TEW-Y141)/(TEW-REW),1)</f>
        <v>0.122279869597617</v>
      </c>
      <c r="AX141" s="70">
        <f ca="1">MIN((TEW-Z141)/(TEW-REW),1)</f>
        <v>0.123905321124837</v>
      </c>
      <c r="AY141" s="70">
        <f ca="1">IF((AU141*(TEW-Y141))&gt;0,1/(1+((AV141*(TEW-Z141))/(AU141*(TEW-Y141)))),0)</f>
        <v>1</v>
      </c>
      <c r="AZ141" s="70">
        <f ca="1">MIN((AY141*AW141*(Kcmax-H141)),AU141*Kcmax)</f>
        <v>0.0303455092906801</v>
      </c>
      <c r="BA141" s="70">
        <f ca="1">MIN(((1-AY141)*AX141*(Kcmax-H141)),AV141*Kcmax)</f>
        <v>0</v>
      </c>
      <c r="BB141" s="70">
        <f ca="1" t="shared" si="17"/>
        <v>0.0201494181690116</v>
      </c>
      <c r="BC141" s="70">
        <f ca="1">MIN((R141-AA141)/(R141*(1-(p+0.04*(5-I140)))),1)</f>
        <v>1</v>
      </c>
      <c r="BD141" s="10">
        <f ca="1" t="shared" si="18"/>
        <v>0.598818844808089</v>
      </c>
      <c r="BE141" s="70">
        <f ca="1">MIN(IF((1-AA141/R141)&gt;0,(1-Y141/TEW)/(1-AA141/R141)*(Ze/P141)^0.6,0),1)*BC141*H141*B141</f>
        <v>0.259321525901649</v>
      </c>
      <c r="BF141" s="70">
        <f ca="1">MIN(IF((1-AA141/R141)&gt;0,(1-Z141/TEW)/(1-AA141/R141)*(Ze/P141)^0.6,0),1)*BC141*H141*B141</f>
        <v>0.262768655602596</v>
      </c>
      <c r="BH141" s="10">
        <f ca="1" t="shared" si="19"/>
        <v>0.046839894454707</v>
      </c>
      <c r="BI141" s="10">
        <f ca="1">IF(F141&lt;&gt;"",(Moy_Etobs-F141)^2,"")</f>
        <v>1.45523103773591</v>
      </c>
    </row>
    <row r="142" spans="1:61">
      <c r="A142" s="38">
        <v>39135</v>
      </c>
      <c r="B142" s="10">
        <v>0.695</v>
      </c>
      <c r="C142" s="39">
        <v>0.198</v>
      </c>
      <c r="D142">
        <v>0.753</v>
      </c>
      <c r="E142" s="39">
        <v>0</v>
      </c>
      <c r="F142" s="10">
        <v>0.4727286</v>
      </c>
      <c r="G142" s="10">
        <f ca="1">MIN(MAX(IF(AND(Durpla&gt;ROW()-MATCH(NDVImax,INDEX(D:D,Lig_min,1):INDEX(D:D,Lig_max,1),0)-Lig_min+1,ROW()-MATCH(NDVImax,INDEX(D:D,Lig_min,1):INDEX(D:D,Lig_max,1),0)-Lig_min+1&gt;0,D142*a_fc+b_fc&gt;fc_fin),NDVImax*a_fc+b_fc,D142*a_fc+b_fc),0),1)</f>
        <v>0.804</v>
      </c>
      <c r="H142" s="55">
        <f>MIN(MAX(D142*a_kcb+b_kcb,0),Kcmax)</f>
        <v>0.90634478769899</v>
      </c>
      <c r="I142" s="70">
        <f ca="1" t="shared" si="11"/>
        <v>0.650511093464512</v>
      </c>
      <c r="O142" s="55"/>
      <c r="P142" s="35">
        <f ca="1">IF(ROW()-MATCH(NDVImax,INDEX(D:D,Lig_min,1):INDEX(D:D,Lig_max,1),0)-Lig_min+1&gt;0,MAX(MIN(Zr_min+MAX(INDEX(G:G,Lig_min,1):INDEX(G:G,Lig_max,1))/MAX(MAX(INDEX(G:G,Lig_min,1):INDEX(G:G,Lig_max,1)),Max_fc_pour_Zrmax)*(Zr_max-Zr_min),Zr_max),Ze+0.001),MAX(MIN(Zr_min+G142/MAX(MAX(INDEX(G:G,Lig_min,1):INDEX(G:G,Lig_max,1)),Max_fc_pour_Zrmax)*(Zr_max-Zr_min),Zr_max),Ze+0.001))</f>
        <v>503.327080030712</v>
      </c>
      <c r="Q142" s="35">
        <f ca="1">IF(Z_sol&gt;0,Z_sol-P142,0.1)</f>
        <v>110.547471033722</v>
      </c>
      <c r="R142" s="35">
        <f ca="1">(Wfc-Wwp)*P142</f>
        <v>65.4325204039925</v>
      </c>
      <c r="S142" s="35">
        <f ca="1">(Wfc-Wwp)*Q142</f>
        <v>14.3711712343839</v>
      </c>
      <c r="T142" s="99">
        <f ca="1" t="shared" si="20"/>
        <v>1.66091741404725</v>
      </c>
      <c r="U142" s="99">
        <f ca="1" t="shared" si="21"/>
        <v>1.14058286603868</v>
      </c>
      <c r="V142" s="99">
        <f ca="1">IF(P142&gt;P141,IF(Q142&gt;1,MAX(AI141+(Wfc-Wwp)*(P142-P141)*AJ141/S141,0),AI141/P141*P142),MAX(AI141+(Wfc-Wwp)*(P142-P141)*AI141/R141,0))</f>
        <v>2.96675773614909</v>
      </c>
      <c r="W142" s="99">
        <f ca="1">IF(S142&gt;1,IF(P142&gt;P141,MAX(AJ141-(Wfc-Wwp)*(P142-P141)*AJ141/S141,0),MAX(AJ141-(Wfc-Wwp)*(P142-P141)*AI141/R141,0)),0)</f>
        <v>2.1110328053888e-8</v>
      </c>
      <c r="X142" s="99">
        <f ca="1">IF(AND(OR(AND(dec_vide_TAW&lt;0,V142&gt;R142*(p+0.04*(5-I141))),AND(dec_vide_TAW&gt;0,V142&gt;R142*dec_vide_TAW)),H142&gt;MAX(INDEX(H:H,Lig_min,1):INDEX(H:H,ROW(X142),1))*Kcbmax_stop_irrig*IF(ROW(X142)-lig_kcbmax&gt;0,1,0),MIN(INDEX(H:H,ROW(X142),1):INDEX(H:H,lig_kcbmax,1))&gt;Kcbmin_start_irrig),MIN(MAX(V142-E142*Irri_man-C142,0),Lame_max),0)</f>
        <v>0</v>
      </c>
      <c r="Y142" s="99">
        <f ca="1">MIN(MAX(T142-C142-IF(fw&gt;0,X142/fw*Irri_auto+E142/fw*Irri_man,0),0),TEW)</f>
        <v>1.46291741404725</v>
      </c>
      <c r="Z142" s="99">
        <f ca="1">MIN(MAX(U142-C142,0),TEW)</f>
        <v>0.942582866038681</v>
      </c>
      <c r="AA142" s="99">
        <f ca="1">MIN(MAX(V142-C142-(X142*Irri_auto+E142*Irri_man),0),R142)</f>
        <v>2.76875773614909</v>
      </c>
      <c r="AB142" s="99">
        <f ca="1">MIN(MAX(W142+MIN(V142-C142-(X142*Irri_auto+E142*Irri_man),0),0),S142)</f>
        <v>2.1110328053888e-8</v>
      </c>
      <c r="AC142" s="99">
        <f ca="1">-MIN(W142+MIN(V142-C142-(X142*Irri_auto+E142*Irri_man),0),0)</f>
        <v>0</v>
      </c>
      <c r="AD142" s="39">
        <f ca="1">IF(((R142-AA142)/P142-((Wfc-Wwp)*Ze-Y142)/Ze)/Wfc*DiffE&lt;0,MAX(((R142-AA142)/P142-((Wfc-Wwp)*Ze-Y142)/Ze)/Wfc*DiffE,(R142*Ze-((Wfc-Wwp)*Ze-Y142-AA142)*P142)/(P142+Ze)-AA142),MIN(((R142-AA142)/P142-((Wfc-Wwp)*Ze-Y142)/Ze)/Wfc*DiffE,(R142*Ze-((Wfc-Wwp)*Ze-Y142-AA142)*P142)/(P142+Ze)-AA142))</f>
        <v>1.55060694646525e-8</v>
      </c>
      <c r="AE142" s="39">
        <f ca="1">IF(((R142-AA142)/P142-((Wfc-Wwp)*Ze-Z142)/Ze)/Wfc*DiffE&lt;0,MAX(((R142-AA142)/P142-((Wfc-Wwp)*Ze-Z142)/Ze)/Wfc*DiffE,(R142*Ze-((Wfc-Wwp)*Ze-Z142-AA142)*P142)/(P142+Ze)-AA142),MIN(((R142-AA142)/P142-((Wfc-Wwp)*Ze-Z142)/Ze)/Wfc*DiffE,(R142*Ze-((Wfc-Wwp)*Ze-Z142-AA142)*P142)/(P142+Ze)-AA142))</f>
        <v>5.0993785044811e-9</v>
      </c>
      <c r="AF142" s="39">
        <f ca="1">IF(((S142-AB142)/Q142-(R142-AA142)/P142)/Wfc*DiffR&lt;0,MAX(((S142-AB142)/Q142-(R142-AA142)/P142)/Wfc*DiffR,(S142*P142-(R142-AA142-AB142)*Q142)/(P142+Q142)-AB142),MIN(((S142-AB142)/Q142-(R142-AA142)/P142)/Wfc*DiffR,(S142*P142-(R142-AA142-AB142)*Q142)/(P142+Q142)-AB142))</f>
        <v>1.37522783388884e-8</v>
      </c>
      <c r="AG142" s="99">
        <f ca="1">MIN(MAX(Y142+IF(AU142&gt;0,B142*AZ142/AU142,0)+BE142-AD142,0),TEW)</f>
        <v>1.84059490597372</v>
      </c>
      <c r="AH142" s="99">
        <f ca="1">MIN(MAX(Z142+IF(AV142&gt;0,B142*BA142/AV142,0)+BF142-AE142,0),TEW)</f>
        <v>1.2196302291823</v>
      </c>
      <c r="AI142" s="99">
        <f ca="1" t="shared" si="12"/>
        <v>3.41926881586133</v>
      </c>
      <c r="AJ142" s="99">
        <f ca="1" t="shared" si="13"/>
        <v>3.48626063927763e-8</v>
      </c>
      <c r="AK142" s="70">
        <f ca="1">IF((AU142+AV142)&gt;0,(TEW-(AG142*AU142+AH142*AV142)/(AU142+AV142))/TEW,(TEW-(AG142+AH142)/2)/TEW)</f>
        <v>0.944434870763058</v>
      </c>
      <c r="AL142" s="70">
        <f ca="1" t="shared" si="14"/>
        <v>0.947743586908312</v>
      </c>
      <c r="AM142" s="70">
        <f ca="1" t="shared" si="15"/>
        <v>0.999999997574129</v>
      </c>
      <c r="AN142" s="70">
        <f ca="1">Wwp+(Wfc-Wwp)*IF((AU142+AV142)&gt;0,(TEW-(AG142*AU142+AH142*AV142)/(AU142+AV142))/TEW,(TEW-(AG142+AH142)/2)/TEW)</f>
        <v>0.392776533199198</v>
      </c>
      <c r="AO142" s="70">
        <f ca="1">Wwp+(Wfc-Wwp)*(R142-AI142)/R142</f>
        <v>0.393206666298081</v>
      </c>
      <c r="AP142" s="70">
        <f ca="1">Wwp+(Wfc-Wwp)*(S142-AJ142)/S142</f>
        <v>0.399999999684637</v>
      </c>
      <c r="AQ142" s="70"/>
      <c r="AR142" s="70"/>
      <c r="AS142" s="70"/>
      <c r="AT142" s="70"/>
      <c r="AU142" s="70">
        <f ca="1">MIN((1-G142),fw)</f>
        <v>0.196</v>
      </c>
      <c r="AV142" s="70">
        <f ca="1" t="shared" si="16"/>
        <v>0</v>
      </c>
      <c r="AW142" s="70">
        <f ca="1">MIN((TEW-Y142)/(TEW-REW),1)</f>
        <v>0.121657143559952</v>
      </c>
      <c r="AX142" s="70">
        <f ca="1">MIN((TEW-Z142)/(TEW-REW),1)</f>
        <v>0.123656456606857</v>
      </c>
      <c r="AY142" s="70">
        <f ca="1">IF((AU142*(TEW-Y142))&gt;0,1/(1+((AV142*(TEW-Z142))/(AU142*(TEW-Y142)))),0)</f>
        <v>1</v>
      </c>
      <c r="AZ142" s="70">
        <f ca="1">MIN((AY142*AW142*(Kcmax-H142)),AU142*Kcmax)</f>
        <v>0.0296423971420345</v>
      </c>
      <c r="BA142" s="70">
        <f ca="1">MIN(((1-AY142)*AX142*(Kcmax-H142)),AV142*Kcmax)</f>
        <v>0</v>
      </c>
      <c r="BB142" s="70">
        <f ca="1" t="shared" si="17"/>
        <v>0.020601466013714</v>
      </c>
      <c r="BC142" s="70">
        <f ca="1">MIN((R142-AA142)/(R142*(1-(p+0.04*(5-I141)))),1)</f>
        <v>1</v>
      </c>
      <c r="BD142" s="10">
        <f ca="1" t="shared" si="18"/>
        <v>0.629909627450798</v>
      </c>
      <c r="BE142" s="70">
        <f ca="1">MIN(IF((1-AA142/R142)&gt;0,(1-Y142/TEW)/(1-AA142/R142)*(Ze/P142)^0.6,0),1)*BC142*H142*B142</f>
        <v>0.272567986954404</v>
      </c>
      <c r="BF142" s="70">
        <f ca="1">MIN(IF((1-AA142/R142)&gt;0,(1-Z142/TEW)/(1-AA142/R142)*(Ze/P142)^0.6,0),1)*BC142*H142*B142</f>
        <v>0.277047368243001</v>
      </c>
      <c r="BH142" s="10">
        <f ca="1" t="shared" si="19"/>
        <v>0.0316066149824592</v>
      </c>
      <c r="BI142" s="10">
        <f ca="1">IF(F142&lt;&gt;"",(Moy_Etobs-F142)^2,"")</f>
        <v>1.29082312648153</v>
      </c>
    </row>
    <row r="143" spans="1:61">
      <c r="A143" s="38">
        <v>39136</v>
      </c>
      <c r="B143" s="10">
        <v>1.48</v>
      </c>
      <c r="C143" s="39">
        <v>0.198</v>
      </c>
      <c r="D143">
        <v>0.756</v>
      </c>
      <c r="E143" s="39">
        <v>0</v>
      </c>
      <c r="F143" s="10">
        <v>1.3229424</v>
      </c>
      <c r="G143" s="10">
        <f ca="1">MIN(MAX(IF(AND(Durpla&gt;ROW()-MATCH(NDVImax,INDEX(D:D,Lig_min,1):INDEX(D:D,Lig_max,1),0)-Lig_min+1,ROW()-MATCH(NDVImax,INDEX(D:D,Lig_min,1):INDEX(D:D,Lig_max,1),0)-Lig_min+1&gt;0,D143*a_fc+b_fc&gt;fc_fin),NDVImax*a_fc+b_fc,D143*a_fc+b_fc),0),1)</f>
        <v>0.808</v>
      </c>
      <c r="H143" s="55">
        <f>MIN(MAX(D143*a_kcb+b_kcb,0),Kcmax)</f>
        <v>0.910853965747243</v>
      </c>
      <c r="I143" s="70">
        <f ca="1" t="shared" ref="I143:I206" si="22">MIN(BB143+BD143,R143-AA143)</f>
        <v>1.39087837551005</v>
      </c>
      <c r="O143" s="55"/>
      <c r="P143" s="35">
        <f ca="1">IF(ROW()-MATCH(NDVImax,INDEX(D:D,Lig_min,1):INDEX(D:D,Lig_max,1),0)-Lig_min+1&gt;0,MAX(MIN(Zr_min+MAX(INDEX(G:G,Lig_min,1):INDEX(G:G,Lig_max,1))/MAX(MAX(INDEX(G:G,Lig_min,1):INDEX(G:G,Lig_max,1)),Max_fc_pour_Zrmax)*(Zr_max-Zr_min),Zr_max),Ze+0.001),MAX(MIN(Zr_min+G143/MAX(MAX(INDEX(G:G,Lig_min,1):INDEX(G:G,Lig_max,1)),Max_fc_pour_Zrmax)*(Zr_max-Zr_min),Zr_max),Ze+0.001))</f>
        <v>505.209304309472</v>
      </c>
      <c r="Q143" s="35">
        <f ca="1">IF(Z_sol&gt;0,Z_sol-P143,0.1)</f>
        <v>108.665246754962</v>
      </c>
      <c r="R143" s="35">
        <f ca="1">(Wfc-Wwp)*P143</f>
        <v>65.6772095602313</v>
      </c>
      <c r="S143" s="35">
        <f ca="1">(Wfc-Wwp)*Q143</f>
        <v>14.1264820781451</v>
      </c>
      <c r="T143" s="99">
        <f ca="1" t="shared" si="20"/>
        <v>1.84059490597372</v>
      </c>
      <c r="U143" s="99">
        <f ca="1" t="shared" si="21"/>
        <v>1.2196302291823</v>
      </c>
      <c r="V143" s="99">
        <f ca="1">IF(P143&gt;P142,IF(Q143&gt;1,MAX(AI142+(Wfc-Wwp)*(P143-P142)*AJ142/S142,0),AI142/P142*P143),MAX(AI142+(Wfc-Wwp)*(P143-P142)*AI142/R142,0))</f>
        <v>3.41926881645491</v>
      </c>
      <c r="W143" s="99">
        <f ca="1">IF(S143&gt;1,IF(P143&gt;P142,MAX(AJ142-(Wfc-Wwp)*(P143-P142)*AJ142/S142,0),MAX(AJ142-(Wfc-Wwp)*(P143-P142)*AI142/R142,0)),0)</f>
        <v>3.42690220840651e-8</v>
      </c>
      <c r="X143" s="99">
        <f ca="1">IF(AND(OR(AND(dec_vide_TAW&lt;0,V143&gt;R143*(p+0.04*(5-I142))),AND(dec_vide_TAW&gt;0,V143&gt;R143*dec_vide_TAW)),H143&gt;MAX(INDEX(H:H,Lig_min,1):INDEX(H:H,ROW(X143),1))*Kcbmax_stop_irrig*IF(ROW(X143)-lig_kcbmax&gt;0,1,0),MIN(INDEX(H:H,ROW(X143),1):INDEX(H:H,lig_kcbmax,1))&gt;Kcbmin_start_irrig),MIN(MAX(V143-E143*Irri_man-C143,0),Lame_max),0)</f>
        <v>0</v>
      </c>
      <c r="Y143" s="99">
        <f ca="1">MIN(MAX(T143-C143-IF(fw&gt;0,X143/fw*Irri_auto+E143/fw*Irri_man,0),0),TEW)</f>
        <v>1.64259490597372</v>
      </c>
      <c r="Z143" s="99">
        <f ca="1">MIN(MAX(U143-C143,0),TEW)</f>
        <v>1.0216302291823</v>
      </c>
      <c r="AA143" s="99">
        <f ca="1">MIN(MAX(V143-C143-(X143*Irri_auto+E143*Irri_man),0),R143)</f>
        <v>3.22126881645491</v>
      </c>
      <c r="AB143" s="99">
        <f ca="1">MIN(MAX(W143+MIN(V143-C143-(X143*Irri_auto+E143*Irri_man),0),0),S143)</f>
        <v>3.42690220840651e-8</v>
      </c>
      <c r="AC143" s="99">
        <f ca="1">-MIN(W143+MIN(V143-C143-(X143*Irri_auto+E143*Irri_man),0),0)</f>
        <v>0</v>
      </c>
      <c r="AD143" s="39">
        <f ca="1">IF(((R143-AA143)/P143-((Wfc-Wwp)*Ze-Y143)/Ze)/Wfc*DiffE&lt;0,MAX(((R143-AA143)/P143-((Wfc-Wwp)*Ze-Y143)/Ze)/Wfc*DiffE,(R143*Ze-((Wfc-Wwp)*Ze-Y143-AA143)*P143)/(P143+Ze)-AA143),MIN(((R143-AA143)/P143-((Wfc-Wwp)*Ze-Y143)/Ze)/Wfc*DiffE,(R143*Ze-((Wfc-Wwp)*Ze-Y143-AA143)*P143)/(P143+Ze)-AA143))</f>
        <v>1.69116294576679e-8</v>
      </c>
      <c r="AE143" s="39">
        <f ca="1">IF(((R143-AA143)/P143-((Wfc-Wwp)*Ze-Z143)/Ze)/Wfc*DiffE&lt;0,MAX(((R143-AA143)/P143-((Wfc-Wwp)*Ze-Z143)/Ze)/Wfc*DiffE,(R143*Ze-((Wfc-Wwp)*Ze-Z143-AA143)*P143)/(P143+Ze)-AA143),MIN(((R143-AA143)/P143-((Wfc-Wwp)*Ze-Z143)/Ze)/Wfc*DiffE,(R143*Ze-((Wfc-Wwp)*Ze-Z143-AA143)*P143)/(P143+Ze)-AA143))</f>
        <v>4.49233592183969e-9</v>
      </c>
      <c r="AF143" s="39">
        <f ca="1">IF(((S143-AB143)/Q143-(R143-AA143)/P143)/Wfc*DiffR&lt;0,MAX(((S143-AB143)/Q143-(R143-AA143)/P143)/Wfc*DiffR,(S143*P143-(R143-AA143-AB143)*Q143)/(P143+Q143)-AB143),MIN(((S143-AB143)/Q143-(R143-AA143)/P143)/Wfc*DiffR,(S143*P143-(R143-AA143-AB143)*Q143)/(P143+Q143)-AB143))</f>
        <v>1.59402678733984e-8</v>
      </c>
      <c r="AG143" s="99">
        <f ca="1">MIN(MAX(Y143+IF(AU143&gt;0,B143*AZ143/AU143,0)+BE143-AD143,0),TEW)</f>
        <v>2.44839661477259</v>
      </c>
      <c r="AH143" s="99">
        <f ca="1">MIN(MAX(Z143+IF(AV143&gt;0,B143*BA143/AV143,0)+BF143-AE143,0),TEW)</f>
        <v>1.61593517114781</v>
      </c>
      <c r="AI143" s="99">
        <f ca="1" t="shared" ref="AI143:AI206" si="23">MIN(MAX(AA143+I143-AF143,0),R143)</f>
        <v>4.61214717602469</v>
      </c>
      <c r="AJ143" s="99">
        <f ca="1" t="shared" ref="AJ143:AJ206" si="24">MIN(MAX(AB143+AF143,0),S143)</f>
        <v>5.02092899574635e-8</v>
      </c>
      <c r="AK143" s="70">
        <f ca="1">IF((AU143+AV143)&gt;0,(TEW-(AG143*AU143+AH143*AV143)/(AU143+AV143))/TEW,(TEW-(AG143+AH143)/2)/TEW)</f>
        <v>0.926086139931393</v>
      </c>
      <c r="AL143" s="70">
        <f ca="1" t="shared" ref="AL143:AL206" si="25">(R143-AI143)/R143</f>
        <v>0.929775530859072</v>
      </c>
      <c r="AM143" s="70">
        <f ca="1" t="shared" ref="AM143:AM206" si="26">(S143-AJ143)/S143</f>
        <v>0.999999996445733</v>
      </c>
      <c r="AN143" s="70">
        <f ca="1">Wwp+(Wfc-Wwp)*IF((AU143+AV143)&gt;0,(TEW-(AG143*AU143+AH143*AV143)/(AU143+AV143))/TEW,(TEW-(AG143+AH143)/2)/TEW)</f>
        <v>0.390391198191081</v>
      </c>
      <c r="AO143" s="70">
        <f ca="1">Wwp+(Wfc-Wwp)*(R143-AI143)/R143</f>
        <v>0.390870819011679</v>
      </c>
      <c r="AP143" s="70">
        <f ca="1">Wwp+(Wfc-Wwp)*(S143-AJ143)/S143</f>
        <v>0.399999999537945</v>
      </c>
      <c r="AQ143" s="70"/>
      <c r="AR143" s="70"/>
      <c r="AS143" s="70"/>
      <c r="AT143" s="70"/>
      <c r="AU143" s="70">
        <f ca="1">MIN((1-G143),fw)</f>
        <v>0.192</v>
      </c>
      <c r="AV143" s="70">
        <f ca="1" t="shared" ref="AV143:AV206" si="27">1-G143-AU143</f>
        <v>0</v>
      </c>
      <c r="AW143" s="70">
        <f ca="1">MIN((TEW-Y143)/(TEW-REW),1)</f>
        <v>0.120966757816359</v>
      </c>
      <c r="AX143" s="70">
        <f ca="1">MIN((TEW-Z143)/(TEW-REW),1)</f>
        <v>0.123352728120902</v>
      </c>
      <c r="AY143" s="70">
        <f ca="1">IF((AU143*(TEW-Y143))&gt;0,1/(1+((AV143*(TEW-Z143))/(AU143*(TEW-Y143)))),0)</f>
        <v>1</v>
      </c>
      <c r="AZ143" s="70">
        <f ca="1">MIN((AY143*AW143*(Kcmax-H143)),AU143*Kcmax)</f>
        <v>0.0289287204081959</v>
      </c>
      <c r="BA143" s="70">
        <f ca="1">MIN(((1-AY143)*AX143*(Kcmax-H143)),AV143*Kcmax)</f>
        <v>0</v>
      </c>
      <c r="BB143" s="70">
        <f ca="1" t="shared" ref="BB143:BB206" si="28">B143*(AZ143+BA143)*IF($M$11=1,1-G143,1)</f>
        <v>0.04281450620413</v>
      </c>
      <c r="BC143" s="70">
        <f ca="1">MIN((R143-AA143)/(R143*(1-(p+0.04*(5-I142)))),1)</f>
        <v>1</v>
      </c>
      <c r="BD143" s="10">
        <f ca="1" t="shared" ref="BD143:BD206" si="29">B143*(H143*BC143)</f>
        <v>1.34806386930592</v>
      </c>
      <c r="BE143" s="70">
        <f ca="1">MIN(IF((1-AA143/R143)&gt;0,(1-Y143/TEW)/(1-AA143/R143)*(Ze/P143)^0.6,0),1)*BC143*H143*B143</f>
        <v>0.582809505897328</v>
      </c>
      <c r="BF143" s="70">
        <f ca="1">MIN(IF((1-AA143/R143)&gt;0,(1-Z143/TEW)/(1-AA143/R143)*(Ze/P143)^0.6,0),1)*BC143*H143*B143</f>
        <v>0.594304946457845</v>
      </c>
      <c r="BH143" s="10">
        <f ca="1" t="shared" ref="BH143:BH206" si="30">IF(F143&lt;&gt;"",(F143-I143)^2,"")</f>
        <v>0.00461529676850213</v>
      </c>
      <c r="BI143" s="10">
        <f ca="1">IF(F143&lt;&gt;"",(Moy_Etobs-F143)^2,"")</f>
        <v>0.0817560636046323</v>
      </c>
    </row>
    <row r="144" spans="1:61">
      <c r="A144" s="38">
        <v>39137</v>
      </c>
      <c r="B144" s="10">
        <v>0.907</v>
      </c>
      <c r="C144" s="39">
        <v>4.752</v>
      </c>
      <c r="D144">
        <v>0.76</v>
      </c>
      <c r="E144" s="39">
        <v>0</v>
      </c>
      <c r="F144" s="10">
        <v>1.0375884</v>
      </c>
      <c r="G144" s="10">
        <f ca="1">MIN(MAX(IF(AND(Durpla&gt;ROW()-MATCH(NDVImax,INDEX(D:D,Lig_min,1):INDEX(D:D,Lig_max,1),0)-Lig_min+1,ROW()-MATCH(NDVImax,INDEX(D:D,Lig_min,1):INDEX(D:D,Lig_max,1),0)-Lig_min+1&gt;0,D144*a_fc+b_fc&gt;fc_fin),NDVImax*a_fc+b_fc,D144*a_fc+b_fc),0),1)</f>
        <v>0.813333333333333</v>
      </c>
      <c r="H144" s="55">
        <f>MIN(MAX(D144*a_kcb+b_kcb,0),Kcmax)</f>
        <v>0.916866203144915</v>
      </c>
      <c r="I144" s="70">
        <f ca="1" t="shared" si="22"/>
        <v>0.858510921227412</v>
      </c>
      <c r="O144" s="55"/>
      <c r="P144" s="35">
        <f ca="1">IF(ROW()-MATCH(NDVImax,INDEX(D:D,Lig_min,1):INDEX(D:D,Lig_max,1),0)-Lig_min+1&gt;0,MAX(MIN(Zr_min+MAX(INDEX(G:G,Lig_min,1):INDEX(G:G,Lig_max,1))/MAX(MAX(INDEX(G:G,Lig_min,1):INDEX(G:G,Lig_max,1)),Max_fc_pour_Zrmax)*(Zr_max-Zr_min),Zr_max),Ze+0.001),MAX(MIN(Zr_min+G144/MAX(MAX(INDEX(G:G,Lig_min,1):INDEX(G:G,Lig_max,1)),Max_fc_pour_Zrmax)*(Zr_max-Zr_min),Zr_max),Ze+0.001))</f>
        <v>507.718936681151</v>
      </c>
      <c r="Q144" s="35">
        <f ca="1">IF(Z_sol&gt;0,Z_sol-P144,0.1)</f>
        <v>106.155614383283</v>
      </c>
      <c r="R144" s="35">
        <f ca="1">(Wfc-Wwp)*P144</f>
        <v>66.0034617685497</v>
      </c>
      <c r="S144" s="35">
        <f ca="1">(Wfc-Wwp)*Q144</f>
        <v>13.8002298698268</v>
      </c>
      <c r="T144" s="99">
        <f ca="1" t="shared" ref="T144:T207" si="31">AG143</f>
        <v>2.44839661477259</v>
      </c>
      <c r="U144" s="99">
        <f ca="1" t="shared" ref="U144:U207" si="32">AH143</f>
        <v>1.61593517114781</v>
      </c>
      <c r="V144" s="99">
        <f ca="1">IF(P144&gt;P143,IF(Q144&gt;1,MAX(AI143+(Wfc-Wwp)*(P144-P143)*AJ143/S143,0),AI143/P143*P144),MAX(AI143+(Wfc-Wwp)*(P144-P143)*AI143/R143,0))</f>
        <v>4.61214717718428</v>
      </c>
      <c r="W144" s="99">
        <f ca="1">IF(S144&gt;1,IF(P144&gt;P143,MAX(AJ143-(Wfc-Wwp)*(P144-P143)*AJ143/S143,0),MAX(AJ143-(Wfc-Wwp)*(P144-P143)*AI143/R143,0)),0)</f>
        <v>4.90497024794132e-8</v>
      </c>
      <c r="X144" s="99">
        <f ca="1">IF(AND(OR(AND(dec_vide_TAW&lt;0,V144&gt;R144*(p+0.04*(5-I143))),AND(dec_vide_TAW&gt;0,V144&gt;R144*dec_vide_TAW)),H144&gt;MAX(INDEX(H:H,Lig_min,1):INDEX(H:H,ROW(X144),1))*Kcbmax_stop_irrig*IF(ROW(X144)-lig_kcbmax&gt;0,1,0),MIN(INDEX(H:H,ROW(X144),1):INDEX(H:H,lig_kcbmax,1))&gt;Kcbmin_start_irrig),MIN(MAX(V144-E144*Irri_man-C144,0),Lame_max),0)</f>
        <v>0</v>
      </c>
      <c r="Y144" s="99">
        <f ca="1">MIN(MAX(T144-C144-IF(fw&gt;0,X144/fw*Irri_auto+E144/fw*Irri_man,0),0),TEW)</f>
        <v>0</v>
      </c>
      <c r="Z144" s="99">
        <f ca="1">MIN(MAX(U144-C144,0),TEW)</f>
        <v>0</v>
      </c>
      <c r="AA144" s="99">
        <f ca="1">MIN(MAX(V144-C144-(X144*Irri_auto+E144*Irri_man),0),R144)</f>
        <v>0</v>
      </c>
      <c r="AB144" s="99">
        <f ca="1">MIN(MAX(W144+MIN(V144-C144-(X144*Irri_auto+E144*Irri_man),0),0),S144)</f>
        <v>0</v>
      </c>
      <c r="AC144" s="99">
        <f ca="1">-MIN(W144+MIN(V144-C144-(X144*Irri_auto+E144*Irri_man),0),0)</f>
        <v>0.139852773766017</v>
      </c>
      <c r="AD144" s="39">
        <f ca="1">IF(((R144-AA144)/P144-((Wfc-Wwp)*Ze-Y144)/Ze)/Wfc*DiffE&lt;0,MAX(((R144-AA144)/P144-((Wfc-Wwp)*Ze-Y144)/Ze)/Wfc*DiffE,(R144*Ze-((Wfc-Wwp)*Ze-Y144-AA144)*P144)/(P144+Ze)-AA144),MIN(((R144-AA144)/P144-((Wfc-Wwp)*Ze-Y144)/Ze)/Wfc*DiffE,(R144*Ze-((Wfc-Wwp)*Ze-Y144-AA144)*P144)/(P144+Ze)-AA144))</f>
        <v>0</v>
      </c>
      <c r="AE144" s="39">
        <f ca="1">IF(((R144-AA144)/P144-((Wfc-Wwp)*Ze-Z144)/Ze)/Wfc*DiffE&lt;0,MAX(((R144-AA144)/P144-((Wfc-Wwp)*Ze-Z144)/Ze)/Wfc*DiffE,(R144*Ze-((Wfc-Wwp)*Ze-Z144-AA144)*P144)/(P144+Ze)-AA144),MIN(((R144-AA144)/P144-((Wfc-Wwp)*Ze-Z144)/Ze)/Wfc*DiffE,(R144*Ze-((Wfc-Wwp)*Ze-Z144-AA144)*P144)/(P144+Ze)-AA144))</f>
        <v>0</v>
      </c>
      <c r="AF144" s="39">
        <f ca="1">IF(((S144-AB144)/Q144-(R144-AA144)/P144)/Wfc*DiffR&lt;0,MAX(((S144-AB144)/Q144-(R144-AA144)/P144)/Wfc*DiffR,(S144*P144-(R144-AA144-AB144)*Q144)/(P144+Q144)-AB144),MIN(((S144-AB144)/Q144-(R144-AA144)/P144)/Wfc*DiffR,(S144*P144-(R144-AA144-AB144)*Q144)/(P144+Q144)-AB144))</f>
        <v>0</v>
      </c>
      <c r="AG144" s="99">
        <f ca="1">MIN(MAX(Y144+IF(AU144&gt;0,B144*AZ144/AU144,0)+BE144-AD144,0),TEW)</f>
        <v>0.502840156586871</v>
      </c>
      <c r="AH144" s="99">
        <f ca="1">MIN(MAX(Z144+IF(AV144&gt;0,B144*BA144/AV144,0)+BF144-AE144,0),TEW)</f>
        <v>0.35866189779237</v>
      </c>
      <c r="AI144" s="99">
        <f ca="1" t="shared" si="23"/>
        <v>0.858510921227412</v>
      </c>
      <c r="AJ144" s="99">
        <f ca="1" t="shared" si="24"/>
        <v>0</v>
      </c>
      <c r="AK144" s="70">
        <f ca="1">IF((AU144+AV144)&gt;0,(TEW-(AG144*AU144+AH144*AV144)/(AU144+AV144))/TEW,(TEW-(AG144+AH144)/2)/TEW)</f>
        <v>0.984819919801151</v>
      </c>
      <c r="AL144" s="70">
        <f ca="1" t="shared" si="25"/>
        <v>0.986992941003036</v>
      </c>
      <c r="AM144" s="70">
        <f ca="1" t="shared" si="26"/>
        <v>1</v>
      </c>
      <c r="AN144" s="70">
        <f ca="1">Wwp+(Wfc-Wwp)*IF((AU144+AV144)&gt;0,(TEW-(AG144*AU144+AH144*AV144)/(AU144+AV144))/TEW,(TEW-(AG144+AH144)/2)/TEW)</f>
        <v>0.39802658957415</v>
      </c>
      <c r="AO144" s="70">
        <f ca="1">Wwp+(Wfc-Wwp)*(R144-AI144)/R144</f>
        <v>0.398309082330395</v>
      </c>
      <c r="AP144" s="70">
        <f ca="1">Wwp+(Wfc-Wwp)*(S144-AJ144)/S144</f>
        <v>0.4</v>
      </c>
      <c r="AQ144" s="70"/>
      <c r="AR144" s="70"/>
      <c r="AS144" s="70"/>
      <c r="AT144" s="70"/>
      <c r="AU144" s="70">
        <f ca="1">MIN((1-G144),fw)</f>
        <v>0.186666666666667</v>
      </c>
      <c r="AV144" s="70">
        <f ca="1" t="shared" si="27"/>
        <v>0</v>
      </c>
      <c r="AW144" s="70">
        <f ca="1">MIN((TEW-Y144)/(TEW-REW),1)</f>
        <v>0.12727820001996</v>
      </c>
      <c r="AX144" s="70">
        <f ca="1">MIN((TEW-Z144)/(TEW-REW),1)</f>
        <v>0.12727820001996</v>
      </c>
      <c r="AY144" s="70">
        <f ca="1">IF((AU144*(TEW-Y144))&gt;0,1/(1+((AV144*(TEW-Z144))/(AU144*(TEW-Y144)))),0)</f>
        <v>1</v>
      </c>
      <c r="AZ144" s="70">
        <f ca="1">MIN((AY144*AW144*(Kcmax-H144)),AU144*Kcmax)</f>
        <v>0.0296728500275343</v>
      </c>
      <c r="BA144" s="70">
        <f ca="1">MIN(((1-AY144)*AX144*(Kcmax-H144)),AV144*Kcmax)</f>
        <v>0</v>
      </c>
      <c r="BB144" s="70">
        <f ca="1" t="shared" si="28"/>
        <v>0.0269132749749736</v>
      </c>
      <c r="BC144" s="70">
        <f ca="1">MIN((R144-AA144)/(R144*(1-(p+0.04*(5-I143)))),1)</f>
        <v>1</v>
      </c>
      <c r="BD144" s="10">
        <f ca="1" t="shared" si="29"/>
        <v>0.831597646252438</v>
      </c>
      <c r="BE144" s="70">
        <f ca="1">MIN(IF((1-AA144/R144)&gt;0,(1-Y144/TEW)/(1-AA144/R144)*(Ze/P144)^0.6,0),1)*BC144*H144*B144</f>
        <v>0.35866189779237</v>
      </c>
      <c r="BF144" s="70">
        <f ca="1">MIN(IF((1-AA144/R144)&gt;0,(1-Z144/TEW)/(1-AA144/R144)*(Ze/P144)^0.6,0),1)*BC144*H144*B144</f>
        <v>0.35866189779237</v>
      </c>
      <c r="BH144" s="10">
        <f ca="1" t="shared" si="30"/>
        <v>0.0320687434035468</v>
      </c>
      <c r="BI144" s="10">
        <f ca="1">IF(F144&lt;&gt;"",(Moy_Etobs-F144)^2,"")</f>
        <v>0.326365605866396</v>
      </c>
    </row>
    <row r="145" spans="1:61">
      <c r="A145" s="38">
        <v>39138</v>
      </c>
      <c r="B145" s="10">
        <v>1</v>
      </c>
      <c r="C145" s="39">
        <v>20.196</v>
      </c>
      <c r="D145">
        <v>0.763</v>
      </c>
      <c r="E145" s="39">
        <v>0</v>
      </c>
      <c r="F145" s="10">
        <v>0.9595008</v>
      </c>
      <c r="G145" s="10">
        <f ca="1">MIN(MAX(IF(AND(Durpla&gt;ROW()-MATCH(NDVImax,INDEX(D:D,Lig_min,1):INDEX(D:D,Lig_max,1),0)-Lig_min+1,ROW()-MATCH(NDVImax,INDEX(D:D,Lig_min,1):INDEX(D:D,Lig_max,1),0)-Lig_min+1&gt;0,D145*a_fc+b_fc&gt;fc_fin),NDVImax*a_fc+b_fc,D145*a_fc+b_fc),0),1)</f>
        <v>0.817333333333333</v>
      </c>
      <c r="H145" s="55">
        <f>MIN(MAX(D145*a_kcb+b_kcb,0),Kcmax)</f>
        <v>0.921375381193169</v>
      </c>
      <c r="I145" s="70">
        <f ca="1" t="shared" si="22"/>
        <v>0.950474311155152</v>
      </c>
      <c r="O145" s="55"/>
      <c r="P145" s="35">
        <f ca="1">IF(ROW()-MATCH(NDVImax,INDEX(D:D,Lig_min,1):INDEX(D:D,Lig_max,1),0)-Lig_min+1&gt;0,MAX(MIN(Zr_min+MAX(INDEX(G:G,Lig_min,1):INDEX(G:G,Lig_max,1))/MAX(MAX(INDEX(G:G,Lig_min,1):INDEX(G:G,Lig_max,1)),Max_fc_pour_Zrmax)*(Zr_max-Zr_min),Zr_max),Ze+0.001),MAX(MIN(Zr_min+G145/MAX(MAX(INDEX(G:G,Lig_min,1):INDEX(G:G,Lig_max,1)),Max_fc_pour_Zrmax)*(Zr_max-Zr_min),Zr_max),Ze+0.001))</f>
        <v>509.601160959911</v>
      </c>
      <c r="Q145" s="35">
        <f ca="1">IF(Z_sol&gt;0,Z_sol-P145,0.1)</f>
        <v>104.273390104523</v>
      </c>
      <c r="R145" s="35">
        <f ca="1">(Wfc-Wwp)*P145</f>
        <v>66.2481509247884</v>
      </c>
      <c r="S145" s="35">
        <f ca="1">(Wfc-Wwp)*Q145</f>
        <v>13.555540713588</v>
      </c>
      <c r="T145" s="99">
        <f ca="1" t="shared" si="31"/>
        <v>0.502840156586871</v>
      </c>
      <c r="U145" s="99">
        <f ca="1" t="shared" si="32"/>
        <v>0.35866189779237</v>
      </c>
      <c r="V145" s="99">
        <f ca="1">IF(P145&gt;P144,IF(Q145&gt;1,MAX(AI144+(Wfc-Wwp)*(P145-P144)*AJ144/S144,0),AI144/P144*P145),MAX(AI144+(Wfc-Wwp)*(P145-P144)*AI144/R144,0))</f>
        <v>0.858510921227412</v>
      </c>
      <c r="W145" s="99">
        <f ca="1">IF(S145&gt;1,IF(P145&gt;P144,MAX(AJ144-(Wfc-Wwp)*(P145-P144)*AJ144/S144,0),MAX(AJ144-(Wfc-Wwp)*(P145-P144)*AI144/R144,0)),0)</f>
        <v>0</v>
      </c>
      <c r="X145" s="99">
        <f ca="1">IF(AND(OR(AND(dec_vide_TAW&lt;0,V145&gt;R145*(p+0.04*(5-I144))),AND(dec_vide_TAW&gt;0,V145&gt;R145*dec_vide_TAW)),H145&gt;MAX(INDEX(H:H,Lig_min,1):INDEX(H:H,ROW(X145),1))*Kcbmax_stop_irrig*IF(ROW(X145)-lig_kcbmax&gt;0,1,0),MIN(INDEX(H:H,ROW(X145),1):INDEX(H:H,lig_kcbmax,1))&gt;Kcbmin_start_irrig),MIN(MAX(V145-E145*Irri_man-C145,0),Lame_max),0)</f>
        <v>0</v>
      </c>
      <c r="Y145" s="99">
        <f ca="1">MIN(MAX(T145-C145-IF(fw&gt;0,X145/fw*Irri_auto+E145/fw*Irri_man,0),0),TEW)</f>
        <v>0</v>
      </c>
      <c r="Z145" s="99">
        <f ca="1">MIN(MAX(U145-C145,0),TEW)</f>
        <v>0</v>
      </c>
      <c r="AA145" s="99">
        <f ca="1">MIN(MAX(V145-C145-(X145*Irri_auto+E145*Irri_man),0),R145)</f>
        <v>0</v>
      </c>
      <c r="AB145" s="99">
        <f ca="1">MIN(MAX(W145+MIN(V145-C145-(X145*Irri_auto+E145*Irri_man),0),0),S145)</f>
        <v>0</v>
      </c>
      <c r="AC145" s="99">
        <f ca="1">-MIN(W145+MIN(V145-C145-(X145*Irri_auto+E145*Irri_man),0),0)</f>
        <v>19.3374890787726</v>
      </c>
      <c r="AD145" s="39">
        <f ca="1">IF(((R145-AA145)/P145-((Wfc-Wwp)*Ze-Y145)/Ze)/Wfc*DiffE&lt;0,MAX(((R145-AA145)/P145-((Wfc-Wwp)*Ze-Y145)/Ze)/Wfc*DiffE,(R145*Ze-((Wfc-Wwp)*Ze-Y145-AA145)*P145)/(P145+Ze)-AA145),MIN(((R145-AA145)/P145-((Wfc-Wwp)*Ze-Y145)/Ze)/Wfc*DiffE,(R145*Ze-((Wfc-Wwp)*Ze-Y145-AA145)*P145)/(P145+Ze)-AA145))</f>
        <v>0</v>
      </c>
      <c r="AE145" s="39">
        <f ca="1">IF(((R145-AA145)/P145-((Wfc-Wwp)*Ze-Z145)/Ze)/Wfc*DiffE&lt;0,MAX(((R145-AA145)/P145-((Wfc-Wwp)*Ze-Z145)/Ze)/Wfc*DiffE,(R145*Ze-((Wfc-Wwp)*Ze-Z145-AA145)*P145)/(P145+Ze)-AA145),MIN(((R145-AA145)/P145-((Wfc-Wwp)*Ze-Z145)/Ze)/Wfc*DiffE,(R145*Ze-((Wfc-Wwp)*Ze-Z145-AA145)*P145)/(P145+Ze)-AA145))</f>
        <v>0</v>
      </c>
      <c r="AF145" s="39">
        <f ca="1">IF(((S145-AB145)/Q145-(R145-AA145)/P145)/Wfc*DiffR&lt;0,MAX(((S145-AB145)/Q145-(R145-AA145)/P145)/Wfc*DiffR,(S145*P145-(R145-AA145-AB145)*Q145)/(P145+Q145)-AB145),MIN(((S145-AB145)/Q145-(R145-AA145)/P145)/Wfc*DiffR,(S145*P145-(R145-AA145-AB145)*Q145)/(P145+Q145)-AB145))</f>
        <v>0</v>
      </c>
      <c r="AG145" s="99">
        <f ca="1">MIN(MAX(Y145+IF(AU145&gt;0,B145*AZ145/AU145,0)+BE145-AD145,0),TEW)</f>
        <v>0.555801784035359</v>
      </c>
      <c r="AH145" s="99">
        <f ca="1">MIN(MAX(Z145+IF(AV145&gt;0,B145*BA145/AV145,0)+BF145-AE145,0),TEW)</f>
        <v>0.396501072564649</v>
      </c>
      <c r="AI145" s="99">
        <f ca="1" t="shared" si="23"/>
        <v>0.950474311155152</v>
      </c>
      <c r="AJ145" s="99">
        <f ca="1" t="shared" si="24"/>
        <v>0</v>
      </c>
      <c r="AK145" s="70">
        <f ca="1">IF((AU145+AV145)&gt;0,(TEW-(AG145*AU145+AH145*AV145)/(AU145+AV145))/TEW,(TEW-(AG145+AH145)/2)/TEW)</f>
        <v>0.9832210782178</v>
      </c>
      <c r="AL145" s="70">
        <f ca="1" t="shared" si="25"/>
        <v>0.985652817506798</v>
      </c>
      <c r="AM145" s="70">
        <f ca="1" t="shared" si="26"/>
        <v>1</v>
      </c>
      <c r="AN145" s="70">
        <f ca="1">Wwp+(Wfc-Wwp)*IF((AU145+AV145)&gt;0,(TEW-(AG145*AU145+AH145*AV145)/(AU145+AV145))/TEW,(TEW-(AG145+AH145)/2)/TEW)</f>
        <v>0.397818740168314</v>
      </c>
      <c r="AO145" s="70">
        <f ca="1">Wwp+(Wfc-Wwp)*(R145-AI145)/R145</f>
        <v>0.398134866275884</v>
      </c>
      <c r="AP145" s="70">
        <f ca="1">Wwp+(Wfc-Wwp)*(S145-AJ145)/S145</f>
        <v>0.4</v>
      </c>
      <c r="AQ145" s="70"/>
      <c r="AR145" s="70"/>
      <c r="AS145" s="70"/>
      <c r="AT145" s="70"/>
      <c r="AU145" s="70">
        <f ca="1">MIN((1-G145),fw)</f>
        <v>0.182666666666667</v>
      </c>
      <c r="AV145" s="70">
        <f ca="1" t="shared" si="27"/>
        <v>0</v>
      </c>
      <c r="AW145" s="70">
        <f ca="1">MIN((TEW-Y145)/(TEW-REW),1)</f>
        <v>0.12727820001996</v>
      </c>
      <c r="AX145" s="70">
        <f ca="1">MIN((TEW-Z145)/(TEW-REW),1)</f>
        <v>0.12727820001996</v>
      </c>
      <c r="AY145" s="70">
        <f ca="1">IF((AU145*(TEW-Y145))&gt;0,1/(1+((AV145*(TEW-Z145))/(AU145*(TEW-Y145)))),0)</f>
        <v>1</v>
      </c>
      <c r="AZ145" s="70">
        <f ca="1">MIN((AY145*AW145*(Kcmax-H145)),AU145*Kcmax)</f>
        <v>0.0290989299619831</v>
      </c>
      <c r="BA145" s="70">
        <f ca="1">MIN(((1-AY145)*AX145*(Kcmax-H145)),AV145*Kcmax)</f>
        <v>0</v>
      </c>
      <c r="BB145" s="70">
        <f ca="1" t="shared" si="28"/>
        <v>0.0290989299619831</v>
      </c>
      <c r="BC145" s="70">
        <f ca="1">MIN((R145-AA145)/(R145*(1-(p+0.04*(5-I144)))),1)</f>
        <v>1</v>
      </c>
      <c r="BD145" s="10">
        <f ca="1" t="shared" si="29"/>
        <v>0.921375381193169</v>
      </c>
      <c r="BE145" s="70">
        <f ca="1">MIN(IF((1-AA145/R145)&gt;0,(1-Y145/TEW)/(1-AA145/R145)*(Ze/P145)^0.6,0),1)*BC145*H145*B145</f>
        <v>0.396501072564649</v>
      </c>
      <c r="BF145" s="70">
        <f ca="1">MIN(IF((1-AA145/R145)&gt;0,(1-Z145/TEW)/(1-AA145/R145)*(Ze/P145)^0.6,0),1)*BC145*H145*B145</f>
        <v>0.396501072564649</v>
      </c>
      <c r="BH145" s="10">
        <f ca="1" t="shared" si="30"/>
        <v>8.14775008661738e-5</v>
      </c>
      <c r="BI145" s="10">
        <f ca="1">IF(F145&lt;&gt;"",(Moy_Etobs-F145)^2,"")</f>
        <v>0.421683699053224</v>
      </c>
    </row>
    <row r="146" spans="1:61">
      <c r="A146" s="38">
        <v>39139</v>
      </c>
      <c r="B146" s="10">
        <v>1.007</v>
      </c>
      <c r="C146" s="39">
        <v>11.484</v>
      </c>
      <c r="D146">
        <v>0.766</v>
      </c>
      <c r="E146" s="39">
        <v>0</v>
      </c>
      <c r="F146" s="10">
        <v>1.0717146</v>
      </c>
      <c r="G146" s="10">
        <f ca="1">MIN(MAX(IF(AND(Durpla&gt;ROW()-MATCH(NDVImax,INDEX(D:D,Lig_min,1):INDEX(D:D,Lig_max,1),0)-Lig_min+1,ROW()-MATCH(NDVImax,INDEX(D:D,Lig_min,1):INDEX(D:D,Lig_max,1),0)-Lig_min+1&gt;0,D146*a_fc+b_fc&gt;fc_fin),NDVImax*a_fc+b_fc,D146*a_fc+b_fc),0),1)</f>
        <v>0.821333333333333</v>
      </c>
      <c r="H146" s="55">
        <f>MIN(MAX(D146*a_kcb+b_kcb,0),Kcmax)</f>
        <v>0.925884559241422</v>
      </c>
      <c r="I146" s="70">
        <f ca="1" t="shared" si="22"/>
        <v>0.961090436121819</v>
      </c>
      <c r="O146" s="55"/>
      <c r="P146" s="35">
        <f ca="1">IF(ROW()-MATCH(NDVImax,INDEX(D:D,Lig_min,1):INDEX(D:D,Lig_max,1),0)-Lig_min+1&gt;0,MAX(MIN(Zr_min+MAX(INDEX(G:G,Lig_min,1):INDEX(G:G,Lig_max,1))/MAX(MAX(INDEX(G:G,Lig_min,1):INDEX(G:G,Lig_max,1)),Max_fc_pour_Zrmax)*(Zr_max-Zr_min),Zr_max),Ze+0.001),MAX(MIN(Zr_min+G146/MAX(MAX(INDEX(G:G,Lig_min,1):INDEX(G:G,Lig_max,1)),Max_fc_pour_Zrmax)*(Zr_max-Zr_min),Zr_max),Ze+0.001))</f>
        <v>511.483385238671</v>
      </c>
      <c r="Q146" s="35">
        <f ca="1">IF(Z_sol&gt;0,Z_sol-P146,0.1)</f>
        <v>102.391165825763</v>
      </c>
      <c r="R146" s="35">
        <f ca="1">(Wfc-Wwp)*P146</f>
        <v>66.4928400810272</v>
      </c>
      <c r="S146" s="35">
        <f ca="1">(Wfc-Wwp)*Q146</f>
        <v>13.3108515573492</v>
      </c>
      <c r="T146" s="99">
        <f ca="1" t="shared" si="31"/>
        <v>0.555801784035359</v>
      </c>
      <c r="U146" s="99">
        <f ca="1" t="shared" si="32"/>
        <v>0.396501072564649</v>
      </c>
      <c r="V146" s="99">
        <f ca="1">IF(P146&gt;P145,IF(Q146&gt;1,MAX(AI145+(Wfc-Wwp)*(P146-P145)*AJ145/S145,0),AI145/P145*P146),MAX(AI145+(Wfc-Wwp)*(P146-P145)*AI145/R145,0))</f>
        <v>0.950474311155152</v>
      </c>
      <c r="W146" s="99">
        <f ca="1">IF(S146&gt;1,IF(P146&gt;P145,MAX(AJ145-(Wfc-Wwp)*(P146-P145)*AJ145/S145,0),MAX(AJ145-(Wfc-Wwp)*(P146-P145)*AI145/R145,0)),0)</f>
        <v>0</v>
      </c>
      <c r="X146" s="99">
        <f ca="1">IF(AND(OR(AND(dec_vide_TAW&lt;0,V146&gt;R146*(p+0.04*(5-I145))),AND(dec_vide_TAW&gt;0,V146&gt;R146*dec_vide_TAW)),H146&gt;MAX(INDEX(H:H,Lig_min,1):INDEX(H:H,ROW(X146),1))*Kcbmax_stop_irrig*IF(ROW(X146)-lig_kcbmax&gt;0,1,0),MIN(INDEX(H:H,ROW(X146),1):INDEX(H:H,lig_kcbmax,1))&gt;Kcbmin_start_irrig),MIN(MAX(V146-E146*Irri_man-C146,0),Lame_max),0)</f>
        <v>0</v>
      </c>
      <c r="Y146" s="99">
        <f ca="1">MIN(MAX(T146-C146-IF(fw&gt;0,X146/fw*Irri_auto+E146/fw*Irri_man,0),0),TEW)</f>
        <v>0</v>
      </c>
      <c r="Z146" s="99">
        <f ca="1">MIN(MAX(U146-C146,0),TEW)</f>
        <v>0</v>
      </c>
      <c r="AA146" s="99">
        <f ca="1">MIN(MAX(V146-C146-(X146*Irri_auto+E146*Irri_man),0),R146)</f>
        <v>0</v>
      </c>
      <c r="AB146" s="99">
        <f ca="1">MIN(MAX(W146+MIN(V146-C146-(X146*Irri_auto+E146*Irri_man),0),0),S146)</f>
        <v>0</v>
      </c>
      <c r="AC146" s="99">
        <f ca="1">-MIN(W146+MIN(V146-C146-(X146*Irri_auto+E146*Irri_man),0),0)</f>
        <v>10.5335256888448</v>
      </c>
      <c r="AD146" s="39">
        <f ca="1">IF(((R146-AA146)/P146-((Wfc-Wwp)*Ze-Y146)/Ze)/Wfc*DiffE&lt;0,MAX(((R146-AA146)/P146-((Wfc-Wwp)*Ze-Y146)/Ze)/Wfc*DiffE,(R146*Ze-((Wfc-Wwp)*Ze-Y146-AA146)*P146)/(P146+Ze)-AA146),MIN(((R146-AA146)/P146-((Wfc-Wwp)*Ze-Y146)/Ze)/Wfc*DiffE,(R146*Ze-((Wfc-Wwp)*Ze-Y146-AA146)*P146)/(P146+Ze)-AA146))</f>
        <v>0</v>
      </c>
      <c r="AE146" s="39">
        <f ca="1">IF(((R146-AA146)/P146-((Wfc-Wwp)*Ze-Z146)/Ze)/Wfc*DiffE&lt;0,MAX(((R146-AA146)/P146-((Wfc-Wwp)*Ze-Z146)/Ze)/Wfc*DiffE,(R146*Ze-((Wfc-Wwp)*Ze-Z146-AA146)*P146)/(P146+Ze)-AA146),MIN(((R146-AA146)/P146-((Wfc-Wwp)*Ze-Z146)/Ze)/Wfc*DiffE,(R146*Ze-((Wfc-Wwp)*Ze-Z146-AA146)*P146)/(P146+Ze)-AA146))</f>
        <v>0</v>
      </c>
      <c r="AF146" s="39">
        <f ca="1">IF(((S146-AB146)/Q146-(R146-AA146)/P146)/Wfc*DiffR&lt;0,MAX(((S146-AB146)/Q146-(R146-AA146)/P146)/Wfc*DiffR,(S146*P146-(R146-AA146-AB146)*Q146)/(P146+Q146)-AB146),MIN(((S146-AB146)/Q146-(R146-AA146)/P146)/Wfc*DiffR,(S146*P146-(R146-AA146-AB146)*Q146)/(P146+Q146)-AB146))</f>
        <v>0</v>
      </c>
      <c r="AG146" s="99">
        <f ca="1">MIN(MAX(Y146+IF(AU146&gt;0,B146*AZ146/AU146,0)+BE146-AD146,0),TEW)</f>
        <v>0.561116561726656</v>
      </c>
      <c r="AH146" s="99">
        <f ca="1">MIN(MAX(Z146+IF(AV146&gt;0,B146*BA146/AV146,0)+BF146-AE146,0),TEW)</f>
        <v>0.400344071246954</v>
      </c>
      <c r="AI146" s="99">
        <f ca="1" t="shared" si="23"/>
        <v>0.961090436121819</v>
      </c>
      <c r="AJ146" s="99">
        <f ca="1" t="shared" si="24"/>
        <v>0</v>
      </c>
      <c r="AK146" s="70">
        <f ca="1">IF((AU146+AV146)&gt;0,(TEW-(AG146*AU146+AH146*AV146)/(AU146+AV146))/TEW,(TEW-(AG146+AH146)/2)/TEW)</f>
        <v>0.983060632098818</v>
      </c>
      <c r="AL146" s="70">
        <f ca="1" t="shared" si="25"/>
        <v>0.985545956001418</v>
      </c>
      <c r="AM146" s="70">
        <f ca="1" t="shared" si="26"/>
        <v>1</v>
      </c>
      <c r="AN146" s="70">
        <f ca="1">Wwp+(Wfc-Wwp)*IF((AU146+AV146)&gt;0,(TEW-(AG146*AU146+AH146*AV146)/(AU146+AV146))/TEW,(TEW-(AG146+AH146)/2)/TEW)</f>
        <v>0.397797882172846</v>
      </c>
      <c r="AO146" s="70">
        <f ca="1">Wwp+(Wfc-Wwp)*(R146-AI146)/R146</f>
        <v>0.398120974280184</v>
      </c>
      <c r="AP146" s="70">
        <f ca="1">Wwp+(Wfc-Wwp)*(S146-AJ146)/S146</f>
        <v>0.4</v>
      </c>
      <c r="AQ146" s="70"/>
      <c r="AR146" s="70"/>
      <c r="AS146" s="70"/>
      <c r="AT146" s="70"/>
      <c r="AU146" s="70">
        <f ca="1">MIN((1-G146),fw)</f>
        <v>0.178666666666667</v>
      </c>
      <c r="AV146" s="70">
        <f ca="1" t="shared" si="27"/>
        <v>0</v>
      </c>
      <c r="AW146" s="70">
        <f ca="1">MIN((TEW-Y146)/(TEW-REW),1)</f>
        <v>0.12727820001996</v>
      </c>
      <c r="AX146" s="70">
        <f ca="1">MIN((TEW-Z146)/(TEW-REW),1)</f>
        <v>0.12727820001996</v>
      </c>
      <c r="AY146" s="70">
        <f ca="1">IF((AU146*(TEW-Y146))&gt;0,1/(1+((AV146*(TEW-Z146))/(AU146*(TEW-Y146)))),0)</f>
        <v>1</v>
      </c>
      <c r="AZ146" s="70">
        <f ca="1">MIN((AY146*AW146*(Kcmax-H146)),AU146*Kcmax)</f>
        <v>0.0285250098964318</v>
      </c>
      <c r="BA146" s="70">
        <f ca="1">MIN(((1-AY146)*AX146*(Kcmax-H146)),AV146*Kcmax)</f>
        <v>0</v>
      </c>
      <c r="BB146" s="70">
        <f ca="1" t="shared" si="28"/>
        <v>0.0287246849657068</v>
      </c>
      <c r="BC146" s="70">
        <f ca="1">MIN((R146-AA146)/(R146*(1-(p+0.04*(5-I145)))),1)</f>
        <v>1</v>
      </c>
      <c r="BD146" s="10">
        <f ca="1" t="shared" si="29"/>
        <v>0.932365751156112</v>
      </c>
      <c r="BE146" s="70">
        <f ca="1">MIN(IF((1-AA146/R146)&gt;0,(1-Y146/TEW)/(1-AA146/R146)*(Ze/P146)^0.6,0),1)*BC146*H146*B146</f>
        <v>0.400344071246954</v>
      </c>
      <c r="BF146" s="70">
        <f ca="1">MIN(IF((1-AA146/R146)&gt;0,(1-Z146/TEW)/(1-AA146/R146)*(Ze/P146)^0.6,0),1)*BC146*H146*B146</f>
        <v>0.400344071246954</v>
      </c>
      <c r="BH146" s="10">
        <f ca="1" t="shared" si="30"/>
        <v>0.0122377056337466</v>
      </c>
      <c r="BI146" s="10">
        <f ca="1">IF(F146&lt;&gt;"",(Moy_Etobs-F146)^2,"")</f>
        <v>0.288538687530685</v>
      </c>
    </row>
    <row r="147" spans="1:61">
      <c r="A147" s="38">
        <v>39140</v>
      </c>
      <c r="B147" s="10">
        <v>1.058</v>
      </c>
      <c r="C147" s="39">
        <v>0</v>
      </c>
      <c r="D147">
        <v>0.769</v>
      </c>
      <c r="E147" s="39">
        <v>0</v>
      </c>
      <c r="F147" s="10">
        <v>1.1449566</v>
      </c>
      <c r="G147" s="10">
        <f ca="1">MIN(MAX(IF(AND(Durpla&gt;ROW()-MATCH(NDVImax,INDEX(D:D,Lig_min,1):INDEX(D:D,Lig_max,1),0)-Lig_min+1,ROW()-MATCH(NDVImax,INDEX(D:D,Lig_min,1):INDEX(D:D,Lig_max,1),0)-Lig_min+1&gt;0,D147*a_fc+b_fc&gt;fc_fin),NDVImax*a_fc+b_fc,D147*a_fc+b_fc),0),1)</f>
        <v>0.825333333333333</v>
      </c>
      <c r="H147" s="55">
        <f>MIN(MAX(D147*a_kcb+b_kcb,0),Kcmax)</f>
        <v>0.930393737289676</v>
      </c>
      <c r="I147" s="70">
        <f ca="1" t="shared" si="22"/>
        <v>1.01342789181962</v>
      </c>
      <c r="O147" s="55"/>
      <c r="P147" s="35">
        <f ca="1">IF(ROW()-MATCH(NDVImax,INDEX(D:D,Lig_min,1):INDEX(D:D,Lig_max,1),0)-Lig_min+1&gt;0,MAX(MIN(Zr_min+MAX(INDEX(G:G,Lig_min,1):INDEX(G:G,Lig_max,1))/MAX(MAX(INDEX(G:G,Lig_min,1):INDEX(G:G,Lig_max,1)),Max_fc_pour_Zrmax)*(Zr_max-Zr_min),Zr_max),Ze+0.001),MAX(MIN(Zr_min+G147/MAX(MAX(INDEX(G:G,Lig_min,1):INDEX(G:G,Lig_max,1)),Max_fc_pour_Zrmax)*(Zr_max-Zr_min),Zr_max),Ze+0.001))</f>
        <v>513.36560951743</v>
      </c>
      <c r="Q147" s="35">
        <f ca="1">IF(Z_sol&gt;0,Z_sol-P147,0.1)</f>
        <v>100.508941547004</v>
      </c>
      <c r="R147" s="35">
        <f ca="1">(Wfc-Wwp)*P147</f>
        <v>66.737529237266</v>
      </c>
      <c r="S147" s="35">
        <f ca="1">(Wfc-Wwp)*Q147</f>
        <v>13.0661624011105</v>
      </c>
      <c r="T147" s="99">
        <f ca="1" t="shared" si="31"/>
        <v>0.561116561726656</v>
      </c>
      <c r="U147" s="99">
        <f ca="1" t="shared" si="32"/>
        <v>0.400344071246954</v>
      </c>
      <c r="V147" s="99">
        <f ca="1">IF(P147&gt;P146,IF(Q147&gt;1,MAX(AI146+(Wfc-Wwp)*(P147-P146)*AJ146/S146,0),AI146/P146*P147),MAX(AI146+(Wfc-Wwp)*(P147-P146)*AI146/R146,0))</f>
        <v>0.961090436121819</v>
      </c>
      <c r="W147" s="99">
        <f ca="1">IF(S147&gt;1,IF(P147&gt;P146,MAX(AJ146-(Wfc-Wwp)*(P147-P146)*AJ146/S146,0),MAX(AJ146-(Wfc-Wwp)*(P147-P146)*AI146/R146,0)),0)</f>
        <v>0</v>
      </c>
      <c r="X147" s="99">
        <f ca="1">IF(AND(OR(AND(dec_vide_TAW&lt;0,V147&gt;R147*(p+0.04*(5-I146))),AND(dec_vide_TAW&gt;0,V147&gt;R147*dec_vide_TAW)),H147&gt;MAX(INDEX(H:H,Lig_min,1):INDEX(H:H,ROW(X147),1))*Kcbmax_stop_irrig*IF(ROW(X147)-lig_kcbmax&gt;0,1,0),MIN(INDEX(H:H,ROW(X147),1):INDEX(H:H,lig_kcbmax,1))&gt;Kcbmin_start_irrig),MIN(MAX(V147-E147*Irri_man-C147,0),Lame_max),0)</f>
        <v>0</v>
      </c>
      <c r="Y147" s="99">
        <f ca="1">MIN(MAX(T147-C147-IF(fw&gt;0,X147/fw*Irri_auto+E147/fw*Irri_man,0),0),TEW)</f>
        <v>0.561116561726656</v>
      </c>
      <c r="Z147" s="99">
        <f ca="1">MIN(MAX(U147-C147,0),TEW)</f>
        <v>0.400344071246954</v>
      </c>
      <c r="AA147" s="99">
        <f ca="1">MIN(MAX(V147-C147-(X147*Irri_auto+E147*Irri_man),0),R147)</f>
        <v>0.961090436121819</v>
      </c>
      <c r="AB147" s="99">
        <f ca="1">MIN(MAX(W147+MIN(V147-C147-(X147*Irri_auto+E147*Irri_man),0),0),S147)</f>
        <v>0</v>
      </c>
      <c r="AC147" s="99">
        <f ca="1">-MIN(W147+MIN(V147-C147-(X147*Irri_auto+E147*Irri_man),0),0)</f>
        <v>0</v>
      </c>
      <c r="AD147" s="39">
        <f ca="1">IF(((R147-AA147)/P147-((Wfc-Wwp)*Ze-Y147)/Ze)/Wfc*DiffE&lt;0,MAX(((R147-AA147)/P147-((Wfc-Wwp)*Ze-Y147)/Ze)/Wfc*DiffE,(R147*Ze-((Wfc-Wwp)*Ze-Y147-AA147)*P147)/(P147+Ze)-AA147),MIN(((R147-AA147)/P147-((Wfc-Wwp)*Ze-Y147)/Ze)/Wfc*DiffE,(R147*Ze-((Wfc-Wwp)*Ze-Y147-AA147)*P147)/(P147+Ze)-AA147))</f>
        <v>6.54199027331617e-9</v>
      </c>
      <c r="AE147" s="39">
        <f ca="1">IF(((R147-AA147)/P147-((Wfc-Wwp)*Ze-Z147)/Ze)/Wfc*DiffE&lt;0,MAX(((R147-AA147)/P147-((Wfc-Wwp)*Ze-Z147)/Ze)/Wfc*DiffE,(R147*Ze-((Wfc-Wwp)*Ze-Z147-AA147)*P147)/(P147+Ze)-AA147),MIN(((R147-AA147)/P147-((Wfc-Wwp)*Ze-Z147)/Ze)/Wfc*DiffE,(R147*Ze-((Wfc-Wwp)*Ze-Z147-AA147)*P147)/(P147+Ze)-AA147))</f>
        <v>3.32654046372206e-9</v>
      </c>
      <c r="AF147" s="39">
        <f ca="1">IF(((S147-AB147)/Q147-(R147-AA147)/P147)/Wfc*DiffR&lt;0,MAX(((S147-AB147)/Q147-(R147-AA147)/P147)/Wfc*DiffR,(S147*P147-(R147-AA147-AB147)*Q147)/(P147+Q147)-AB147),MIN(((S147-AB147)/Q147-(R147-AA147)/P147)/Wfc*DiffR,(S147*P147-(R147-AA147-AB147)*Q147)/(P147+Q147)-AB147))</f>
        <v>4.680340961217e-9</v>
      </c>
      <c r="AG147" s="99">
        <f ca="1">MIN(MAX(Y147+IF(AU147&gt;0,B147*AZ147/AU147,0)+BE147-AD147,0),TEW)</f>
        <v>1.14820691764049</v>
      </c>
      <c r="AH147" s="99">
        <f ca="1">MIN(MAX(Z147+IF(AV147&gt;0,B147*BA147/AV147,0)+BF147-AE147,0),TEW)</f>
        <v>0.823072404148572</v>
      </c>
      <c r="AI147" s="99">
        <f ca="1" t="shared" si="23"/>
        <v>1.9745183232611</v>
      </c>
      <c r="AJ147" s="99">
        <f ca="1" t="shared" si="24"/>
        <v>4.680340961217e-9</v>
      </c>
      <c r="AK147" s="70">
        <f ca="1">IF((AU147+AV147)&gt;0,(TEW-(AG147*AU147+AH147*AV147)/(AU147+AV147))/TEW,(TEW-(AG147+AH147)/2)/TEW)</f>
        <v>0.965337149656136</v>
      </c>
      <c r="AL147" s="70">
        <f ca="1" t="shared" si="25"/>
        <v>0.970413673598235</v>
      </c>
      <c r="AM147" s="70">
        <f ca="1" t="shared" si="26"/>
        <v>0.999999999641797</v>
      </c>
      <c r="AN147" s="70">
        <f ca="1">Wwp+(Wfc-Wwp)*IF((AU147+AV147)&gt;0,(TEW-(AG147*AU147+AH147*AV147)/(AU147+AV147))/TEW,(TEW-(AG147+AH147)/2)/TEW)</f>
        <v>0.395493829455298</v>
      </c>
      <c r="AO147" s="70">
        <f ca="1">Wwp+(Wfc-Wwp)*(R147-AI147)/R147</f>
        <v>0.396153777567771</v>
      </c>
      <c r="AP147" s="70">
        <f ca="1">Wwp+(Wfc-Wwp)*(S147-AJ147)/S147</f>
        <v>0.399999999953434</v>
      </c>
      <c r="AQ147" s="70"/>
      <c r="AR147" s="70"/>
      <c r="AS147" s="70"/>
      <c r="AT147" s="70"/>
      <c r="AU147" s="70">
        <f ca="1">MIN((1-G147),fw)</f>
        <v>0.174666666666667</v>
      </c>
      <c r="AV147" s="70">
        <f ca="1" t="shared" si="27"/>
        <v>0</v>
      </c>
      <c r="AW147" s="70">
        <f ca="1">MIN((TEW-Y147)/(TEW-REW),1)</f>
        <v>0.125122187764022</v>
      </c>
      <c r="AX147" s="70">
        <f ca="1">MIN((TEW-Z147)/(TEW-REW),1)</f>
        <v>0.125739933671976</v>
      </c>
      <c r="AY147" s="70">
        <f ca="1">IF((AU147*(TEW-Y147))&gt;0,1/(1+((AV147*(TEW-Z147))/(AU147*(TEW-Y147)))),0)</f>
        <v>1</v>
      </c>
      <c r="AZ147" s="70">
        <f ca="1">MIN((AY147*AW147*(Kcmax-H147)),AU147*Kcmax)</f>
        <v>0.0274776160369963</v>
      </c>
      <c r="BA147" s="70">
        <f ca="1">MIN(((1-AY147)*AX147*(Kcmax-H147)),AV147*Kcmax)</f>
        <v>0</v>
      </c>
      <c r="BB147" s="70">
        <f ca="1" t="shared" si="28"/>
        <v>0.0290713177671421</v>
      </c>
      <c r="BC147" s="70">
        <f ca="1">MIN((R147-AA147)/(R147*(1-(p+0.04*(5-I146)))),1)</f>
        <v>1</v>
      </c>
      <c r="BD147" s="10">
        <f ca="1" t="shared" si="29"/>
        <v>0.984356574052477</v>
      </c>
      <c r="BE147" s="70">
        <f ca="1">MIN(IF((1-AA147/R147)&gt;0,(1-Y147/TEW)/(1-AA147/R147)*(Ze/P147)^0.6,0),1)*BC147*H147*B147</f>
        <v>0.420651520277528</v>
      </c>
      <c r="BF147" s="70">
        <f ca="1">MIN(IF((1-AA147/R147)&gt;0,(1-Z147/TEW)/(1-AA147/R147)*(Ze/P147)^0.6,0),1)*BC147*H147*B147</f>
        <v>0.422728336228159</v>
      </c>
      <c r="BH147" s="10">
        <f ca="1" t="shared" si="30"/>
        <v>0.0172998010755998</v>
      </c>
      <c r="BI147" s="10">
        <f ca="1">IF(F147&lt;&gt;"",(Moy_Etobs-F147)^2,"")</f>
        <v>0.215218029635946</v>
      </c>
    </row>
    <row r="148" spans="1:61">
      <c r="A148" s="38">
        <v>39141</v>
      </c>
      <c r="B148" s="10">
        <v>1.335</v>
      </c>
      <c r="C148" s="39">
        <v>1.188</v>
      </c>
      <c r="D148">
        <v>0.772</v>
      </c>
      <c r="E148" s="39">
        <v>0</v>
      </c>
      <c r="F148"/>
      <c r="G148" s="10">
        <f ca="1">MIN(MAX(IF(AND(Durpla&gt;ROW()-MATCH(NDVImax,INDEX(D:D,Lig_min,1):INDEX(D:D,Lig_max,1),0)-Lig_min+1,ROW()-MATCH(NDVImax,INDEX(D:D,Lig_min,1):INDEX(D:D,Lig_max,1),0)-Lig_min+1&gt;0,D148*a_fc+b_fc&gt;fc_fin),NDVImax*a_fc+b_fc,D148*a_fc+b_fc),0),1)</f>
        <v>0.829333333333333</v>
      </c>
      <c r="H148" s="55">
        <f>MIN(MAX(D148*a_kcb+b_kcb,0),Kcmax)</f>
        <v>0.93490291533793</v>
      </c>
      <c r="I148" s="70">
        <f ca="1" t="shared" si="22"/>
        <v>1.28464391361285</v>
      </c>
      <c r="O148" s="55"/>
      <c r="P148" s="35">
        <f ca="1">IF(ROW()-MATCH(NDVImax,INDEX(D:D,Lig_min,1):INDEX(D:D,Lig_max,1),0)-Lig_min+1&gt;0,MAX(MIN(Zr_min+MAX(INDEX(G:G,Lig_min,1):INDEX(G:G,Lig_max,1))/MAX(MAX(INDEX(G:G,Lig_min,1):INDEX(G:G,Lig_max,1)),Max_fc_pour_Zrmax)*(Zr_max-Zr_min),Zr_max),Ze+0.001),MAX(MIN(Zr_min+G148/MAX(MAX(INDEX(G:G,Lig_min,1):INDEX(G:G,Lig_max,1)),Max_fc_pour_Zrmax)*(Zr_max-Zr_min),Zr_max),Ze+0.001))</f>
        <v>515.24783379619</v>
      </c>
      <c r="Q148" s="35">
        <f ca="1">IF(Z_sol&gt;0,Z_sol-P148,0.1)</f>
        <v>98.6267172682439</v>
      </c>
      <c r="R148" s="35">
        <f ca="1">(Wfc-Wwp)*P148</f>
        <v>66.9822183935047</v>
      </c>
      <c r="S148" s="35">
        <f ca="1">(Wfc-Wwp)*Q148</f>
        <v>12.8214732448717</v>
      </c>
      <c r="T148" s="99">
        <f ca="1" t="shared" si="31"/>
        <v>1.14820691764049</v>
      </c>
      <c r="U148" s="99">
        <f ca="1" t="shared" si="32"/>
        <v>0.823072404148572</v>
      </c>
      <c r="V148" s="99">
        <f ca="1">IF(P148&gt;P147,IF(Q148&gt;1,MAX(AI147+(Wfc-Wwp)*(P148-P147)*AJ147/S147,0),AI147/P147*P148),MAX(AI147+(Wfc-Wwp)*(P148-P147)*AI147/R147,0))</f>
        <v>1.97451832334875</v>
      </c>
      <c r="W148" s="99">
        <f ca="1">IF(S148&gt;1,IF(P148&gt;P147,MAX(AJ147-(Wfc-Wwp)*(P148-P147)*AJ147/S147,0),MAX(AJ147-(Wfc-Wwp)*(P148-P147)*AI147/R147,0)),0)</f>
        <v>4.59269252661522e-9</v>
      </c>
      <c r="X148" s="99">
        <f ca="1">IF(AND(OR(AND(dec_vide_TAW&lt;0,V148&gt;R148*(p+0.04*(5-I147))),AND(dec_vide_TAW&gt;0,V148&gt;R148*dec_vide_TAW)),H148&gt;MAX(INDEX(H:H,Lig_min,1):INDEX(H:H,ROW(X148),1))*Kcbmax_stop_irrig*IF(ROW(X148)-lig_kcbmax&gt;0,1,0),MIN(INDEX(H:H,ROW(X148),1):INDEX(H:H,lig_kcbmax,1))&gt;Kcbmin_start_irrig),MIN(MAX(V148-E148*Irri_man-C148,0),Lame_max),0)</f>
        <v>0</v>
      </c>
      <c r="Y148" s="99">
        <f ca="1">MIN(MAX(T148-C148-IF(fw&gt;0,X148/fw*Irri_auto+E148/fw*Irri_man,0),0),TEW)</f>
        <v>0</v>
      </c>
      <c r="Z148" s="99">
        <f ca="1">MIN(MAX(U148-C148,0),TEW)</f>
        <v>0</v>
      </c>
      <c r="AA148" s="99">
        <f ca="1">MIN(MAX(V148-C148-(X148*Irri_auto+E148*Irri_man),0),R148)</f>
        <v>0.786518323348746</v>
      </c>
      <c r="AB148" s="99">
        <f ca="1">MIN(MAX(W148+MIN(V148-C148-(X148*Irri_auto+E148*Irri_man),0),0),S148)</f>
        <v>4.59269252661522e-9</v>
      </c>
      <c r="AC148" s="99">
        <f ca="1">-MIN(W148+MIN(V148-C148-(X148*Irri_auto+E148*Irri_man),0),0)</f>
        <v>0</v>
      </c>
      <c r="AD148" s="39">
        <f ca="1">IF(((R148-AA148)/P148-((Wfc-Wwp)*Ze-Y148)/Ze)/Wfc*DiffE&lt;0,MAX(((R148-AA148)/P148-((Wfc-Wwp)*Ze-Y148)/Ze)/Wfc*DiffE,(R148*Ze-((Wfc-Wwp)*Ze-Y148-AA148)*P148)/(P148+Ze)-AA148),MIN(((R148-AA148)/P148-((Wfc-Wwp)*Ze-Y148)/Ze)/Wfc*DiffE,(R148*Ze-((Wfc-Wwp)*Ze-Y148-AA148)*P148)/(P148+Ze)-AA148))</f>
        <v>-3.81621363429091e-9</v>
      </c>
      <c r="AE148" s="39">
        <f ca="1">IF(((R148-AA148)/P148-((Wfc-Wwp)*Ze-Z148)/Ze)/Wfc*DiffE&lt;0,MAX(((R148-AA148)/P148-((Wfc-Wwp)*Ze-Z148)/Ze)/Wfc*DiffE,(R148*Ze-((Wfc-Wwp)*Ze-Z148-AA148)*P148)/(P148+Ze)-AA148),MIN(((R148-AA148)/P148-((Wfc-Wwp)*Ze-Z148)/Ze)/Wfc*DiffE,(R148*Ze-((Wfc-Wwp)*Ze-Z148-AA148)*P148)/(P148+Ze)-AA148))</f>
        <v>-3.81621363429091e-9</v>
      </c>
      <c r="AF148" s="39">
        <f ca="1">IF(((S148-AB148)/Q148-(R148-AA148)/P148)/Wfc*DiffR&lt;0,MAX(((S148-AB148)/Q148-(R148-AA148)/P148)/Wfc*DiffR,(S148*P148-(R148-AA148-AB148)*Q148)/(P148+Q148)-AB148),MIN(((S148-AB148)/Q148-(R148-AA148)/P148)/Wfc*DiffR,(S148*P148-(R148-AA148-AB148)*Q148)/(P148+Q148)-AB148))</f>
        <v>3.81621351787487e-9</v>
      </c>
      <c r="AG148" s="99">
        <f ca="1">MIN(MAX(Y148+IF(AU148&gt;0,B148*AZ148/AU148,0)+BE148-AD148,0),TEW)</f>
        <v>0.754052122737264</v>
      </c>
      <c r="AH148" s="99">
        <f ca="1">MIN(MAX(Z148+IF(AV148&gt;0,B148*BA148/AV148,0)+BF148-AE148,0),TEW)</f>
        <v>0.53990062877214</v>
      </c>
      <c r="AI148" s="99">
        <f ca="1" t="shared" si="23"/>
        <v>2.07116223314538</v>
      </c>
      <c r="AJ148" s="99">
        <f ca="1" t="shared" si="24"/>
        <v>8.40890604449009e-9</v>
      </c>
      <c r="AK148" s="70">
        <f ca="1">IF((AU148+AV148)&gt;0,(TEW-(AG148*AU148+AH148*AV148)/(AU148+AV148))/TEW,(TEW-(AG148+AH148)/2)/TEW)</f>
        <v>0.97723616233246</v>
      </c>
      <c r="AL148" s="70">
        <f ca="1" t="shared" si="25"/>
        <v>0.969078924484439</v>
      </c>
      <c r="AM148" s="70">
        <f ca="1" t="shared" si="26"/>
        <v>0.999999999344155</v>
      </c>
      <c r="AN148" s="70">
        <f ca="1">Wwp+(Wfc-Wwp)*IF((AU148+AV148)&gt;0,(TEW-(AG148*AU148+AH148*AV148)/(AU148+AV148))/TEW,(TEW-(AG148+AH148)/2)/TEW)</f>
        <v>0.39704070110322</v>
      </c>
      <c r="AO148" s="70">
        <f ca="1">Wwp+(Wfc-Wwp)*(R148-AI148)/R148</f>
        <v>0.395980260182977</v>
      </c>
      <c r="AP148" s="70">
        <f ca="1">Wwp+(Wfc-Wwp)*(S148-AJ148)/S148</f>
        <v>0.39999999991474</v>
      </c>
      <c r="AQ148" s="70"/>
      <c r="AR148" s="70"/>
      <c r="AS148" s="70"/>
      <c r="AT148" s="70"/>
      <c r="AU148" s="70">
        <f ca="1">MIN((1-G148),fw)</f>
        <v>0.170666666666667</v>
      </c>
      <c r="AV148" s="70">
        <f ca="1" t="shared" si="27"/>
        <v>0</v>
      </c>
      <c r="AW148" s="70">
        <f ca="1">MIN((TEW-Y148)/(TEW-REW),1)</f>
        <v>0.12727820001996</v>
      </c>
      <c r="AX148" s="70">
        <f ca="1">MIN((TEW-Z148)/(TEW-REW),1)</f>
        <v>0.12727820001996</v>
      </c>
      <c r="AY148" s="70">
        <f ca="1">IF((AU148*(TEW-Y148))&gt;0,1/(1+((AV148*(TEW-Z148))/(AU148*(TEW-Y148)))),0)</f>
        <v>1</v>
      </c>
      <c r="AZ148" s="70">
        <f ca="1">MIN((AY148*AW148*(Kcmax-H148)),AU148*Kcmax)</f>
        <v>0.0273771697653293</v>
      </c>
      <c r="BA148" s="70">
        <f ca="1">MIN(((1-AY148)*AX148*(Kcmax-H148)),AV148*Kcmax)</f>
        <v>0</v>
      </c>
      <c r="BB148" s="70">
        <f ca="1" t="shared" si="28"/>
        <v>0.0365485216367146</v>
      </c>
      <c r="BC148" s="70">
        <f ca="1">MIN((R148-AA148)/(R148*(1-(p+0.04*(5-I147)))),1)</f>
        <v>1</v>
      </c>
      <c r="BD148" s="10">
        <f ca="1" t="shared" si="29"/>
        <v>1.24809539197614</v>
      </c>
      <c r="BE148" s="70">
        <f ca="1">MIN(IF((1-AA148/R148)&gt;0,(1-Y148/TEW)/(1-AA148/R148)*(Ze/P148)^0.6,0),1)*BC148*H148*B148</f>
        <v>0.539900624955926</v>
      </c>
      <c r="BF148" s="70">
        <f ca="1">MIN(IF((1-AA148/R148)&gt;0,(1-Z148/TEW)/(1-AA148/R148)*(Ze/P148)^0.6,0),1)*BC148*H148*B148</f>
        <v>0.539900624955926</v>
      </c>
      <c r="BH148" s="10" t="str">
        <f ca="1" t="shared" si="30"/>
        <v/>
      </c>
      <c r="BI148" s="10" t="str">
        <f ca="1">IF(F148&lt;&gt;"",(Moy_Etobs-F148)^2,"")</f>
        <v/>
      </c>
    </row>
    <row r="149" spans="1:61">
      <c r="A149" s="38">
        <v>39142</v>
      </c>
      <c r="B149" s="10">
        <v>1.621</v>
      </c>
      <c r="C149" s="39">
        <v>0</v>
      </c>
      <c r="D149">
        <v>0.776</v>
      </c>
      <c r="E149" s="39">
        <v>0</v>
      </c>
      <c r="F149" s="10">
        <v>1.3152708</v>
      </c>
      <c r="G149" s="10">
        <f ca="1">MIN(MAX(IF(AND(Durpla&gt;ROW()-MATCH(NDVImax,INDEX(D:D,Lig_min,1):INDEX(D:D,Lig_max,1),0)-Lig_min+1,ROW()-MATCH(NDVImax,INDEX(D:D,Lig_min,1):INDEX(D:D,Lig_max,1),0)-Lig_min+1&gt;0,D149*a_fc+b_fc&gt;fc_fin),NDVImax*a_fc+b_fc,D149*a_fc+b_fc),0),1)</f>
        <v>0.834666666666667</v>
      </c>
      <c r="H149" s="55">
        <f>MIN(MAX(D149*a_kcb+b_kcb,0),Kcmax)</f>
        <v>0.940915152735601</v>
      </c>
      <c r="I149" s="70">
        <f ca="1" t="shared" si="22"/>
        <v>1.56737943669554</v>
      </c>
      <c r="O149" s="55"/>
      <c r="P149" s="35">
        <f ca="1">IF(ROW()-MATCH(NDVImax,INDEX(D:D,Lig_min,1):INDEX(D:D,Lig_max,1),0)-Lig_min+1&gt;0,MAX(MIN(Zr_min+MAX(INDEX(G:G,Lig_min,1):INDEX(G:G,Lig_max,1))/MAX(MAX(INDEX(G:G,Lig_min,1):INDEX(G:G,Lig_max,1)),Max_fc_pour_Zrmax)*(Zr_max-Zr_min),Zr_max),Ze+0.001),MAX(MIN(Zr_min+G149/MAX(MAX(INDEX(G:G,Lig_min,1):INDEX(G:G,Lig_max,1)),Max_fc_pour_Zrmax)*(Zr_max-Zr_min),Zr_max),Ze+0.001))</f>
        <v>517.75746616787</v>
      </c>
      <c r="Q149" s="35">
        <f ca="1">IF(Z_sol&gt;0,Z_sol-P149,0.1)</f>
        <v>96.1170848965641</v>
      </c>
      <c r="R149" s="35">
        <f ca="1">(Wfc-Wwp)*P149</f>
        <v>67.3084706018231</v>
      </c>
      <c r="S149" s="35">
        <f ca="1">(Wfc-Wwp)*Q149</f>
        <v>12.4952210365533</v>
      </c>
      <c r="T149" s="99">
        <f ca="1" t="shared" si="31"/>
        <v>0.754052122737264</v>
      </c>
      <c r="U149" s="99">
        <f ca="1" t="shared" si="32"/>
        <v>0.53990062877214</v>
      </c>
      <c r="V149" s="99">
        <f ca="1">IF(P149&gt;P148,IF(Q149&gt;1,MAX(AI148+(Wfc-Wwp)*(P149-P148)*AJ148/S148,0),AI148/P148*P149),MAX(AI148+(Wfc-Wwp)*(P149-P148)*AI148/R148,0))</f>
        <v>2.07116223335935</v>
      </c>
      <c r="W149" s="99">
        <f ca="1">IF(S149&gt;1,IF(P149&gt;P148,MAX(AJ148-(Wfc-Wwp)*(P149-P148)*AJ148/S148,0),MAX(AJ148-(Wfc-Wwp)*(P149-P148)*AI148/R148,0)),0)</f>
        <v>8.19493498873377e-9</v>
      </c>
      <c r="X149" s="99">
        <f ca="1">IF(AND(OR(AND(dec_vide_TAW&lt;0,V149&gt;R149*(p+0.04*(5-I148))),AND(dec_vide_TAW&gt;0,V149&gt;R149*dec_vide_TAW)),H149&gt;MAX(INDEX(H:H,Lig_min,1):INDEX(H:H,ROW(X149),1))*Kcbmax_stop_irrig*IF(ROW(X149)-lig_kcbmax&gt;0,1,0),MIN(INDEX(H:H,ROW(X149),1):INDEX(H:H,lig_kcbmax,1))&gt;Kcbmin_start_irrig),MIN(MAX(V149-E149*Irri_man-C149,0),Lame_max),0)</f>
        <v>0</v>
      </c>
      <c r="Y149" s="99">
        <f ca="1">MIN(MAX(T149-C149-IF(fw&gt;0,X149/fw*Irri_auto+E149/fw*Irri_man,0),0),TEW)</f>
        <v>0.754052122737264</v>
      </c>
      <c r="Z149" s="99">
        <f ca="1">MIN(MAX(U149-C149,0),TEW)</f>
        <v>0.53990062877214</v>
      </c>
      <c r="AA149" s="99">
        <f ca="1">MIN(MAX(V149-C149-(X149*Irri_auto+E149*Irri_man),0),R149)</f>
        <v>2.07116223335935</v>
      </c>
      <c r="AB149" s="99">
        <f ca="1">MIN(MAX(W149+MIN(V149-C149-(X149*Irri_auto+E149*Irri_man),0),0),S149)</f>
        <v>8.19493498873377e-9</v>
      </c>
      <c r="AC149" s="99">
        <f ca="1">-MIN(W149+MIN(V149-C149-(X149*Irri_auto+E149*Irri_man),0),0)</f>
        <v>0</v>
      </c>
      <c r="AD149" s="39">
        <f ca="1">IF(((R149-AA149)/P149-((Wfc-Wwp)*Ze-Y149)/Ze)/Wfc*DiffE&lt;0,MAX(((R149-AA149)/P149-((Wfc-Wwp)*Ze-Y149)/Ze)/Wfc*DiffE,(R149*Ze-((Wfc-Wwp)*Ze-Y149-AA149)*P149)/(P149+Ze)-AA149),MIN(((R149-AA149)/P149-((Wfc-Wwp)*Ze-Y149)/Ze)/Wfc*DiffE,(R149*Ze-((Wfc-Wwp)*Ze-Y149-AA149)*P149)/(P149+Ze)-AA149))</f>
        <v>5.08040331047153e-9</v>
      </c>
      <c r="AE149" s="39">
        <f ca="1">IF(((R149-AA149)/P149-((Wfc-Wwp)*Ze-Z149)/Ze)/Wfc*DiffE&lt;0,MAX(((R149-AA149)/P149-((Wfc-Wwp)*Ze-Z149)/Ze)/Wfc*DiffE,(R149*Ze-((Wfc-Wwp)*Ze-Z149-AA149)*P149)/(P149+Ze)-AA149),MIN(((R149-AA149)/P149-((Wfc-Wwp)*Ze-Z149)/Ze)/Wfc*DiffE,(R149*Ze-((Wfc-Wwp)*Ze-Z149-AA149)*P149)/(P149+Ze)-AA149))</f>
        <v>7.97373431169063e-10</v>
      </c>
      <c r="AF149" s="39">
        <f ca="1">IF(((S149-AB149)/Q149-(R149-AA149)/P149)/Wfc*DiffR&lt;0,MAX(((S149-AB149)/Q149-(R149-AA149)/P149)/Wfc*DiffR,(S149*P149-(R149-AA149-AB149)*Q149)/(P149+Q149)-AB149),MIN(((S149-AB149)/Q149-(R149-AA149)/P149)/Wfc*DiffR,(S149*P149-(R149-AA149-AB149)*Q149)/(P149+Q149)-AB149))</f>
        <v>1.0000638931124e-8</v>
      </c>
      <c r="AG149" s="99">
        <f ca="1">MIN(MAX(Y149+IF(AU149&gt;0,B149*AZ149/AU149,0)+BE149-AD149,0),TEW)</f>
        <v>1.66453408414762</v>
      </c>
      <c r="AH149" s="99">
        <f ca="1">MIN(MAX(Z149+IF(AV149&gt;0,B149*BA149/AV149,0)+BF149-AE149,0),TEW)</f>
        <v>1.19974347677496</v>
      </c>
      <c r="AI149" s="99">
        <f ca="1" t="shared" si="23"/>
        <v>3.63854166005425</v>
      </c>
      <c r="AJ149" s="99">
        <f ca="1" t="shared" si="24"/>
        <v>1.81955739198578e-8</v>
      </c>
      <c r="AK149" s="70">
        <f ca="1">IF((AU149+AV149)&gt;0,(TEW-(AG149*AU149+AH149*AV149)/(AU149+AV149))/TEW,(TEW-(AG149+AH149)/2)/TEW)</f>
        <v>0.949749914440826</v>
      </c>
      <c r="AL149" s="70">
        <f ca="1" t="shared" si="25"/>
        <v>0.945942291846463</v>
      </c>
      <c r="AM149" s="70">
        <f ca="1" t="shared" si="26"/>
        <v>0.999999998543797</v>
      </c>
      <c r="AN149" s="70">
        <f ca="1">Wwp+(Wfc-Wwp)*IF((AU149+AV149)&gt;0,(TEW-(AG149*AU149+AH149*AV149)/(AU149+AV149))/TEW,(TEW-(AG149+AH149)/2)/TEW)</f>
        <v>0.393467488877307</v>
      </c>
      <c r="AO149" s="70">
        <f ca="1">Wwp+(Wfc-Wwp)*(R149-AI149)/R149</f>
        <v>0.39297249794004</v>
      </c>
      <c r="AP149" s="70">
        <f ca="1">Wwp+(Wfc-Wwp)*(S149-AJ149)/S149</f>
        <v>0.399999999810694</v>
      </c>
      <c r="AQ149" s="70"/>
      <c r="AR149" s="70"/>
      <c r="AS149" s="70"/>
      <c r="AT149" s="70"/>
      <c r="AU149" s="70">
        <f ca="1">MIN((1-G149),fw)</f>
        <v>0.165333333333333</v>
      </c>
      <c r="AV149" s="70">
        <f ca="1" t="shared" si="27"/>
        <v>0</v>
      </c>
      <c r="AW149" s="70">
        <f ca="1">MIN((TEW-Y149)/(TEW-REW),1)</f>
        <v>0.124380859736089</v>
      </c>
      <c r="AX149" s="70">
        <f ca="1">MIN((TEW-Z149)/(TEW-REW),1)</f>
        <v>0.125203707032194</v>
      </c>
      <c r="AY149" s="70">
        <f ca="1">IF((AU149*(TEW-Y149))&gt;0,1/(1+((AV149*(TEW-Z149))/(AU149*(TEW-Y149)))),0)</f>
        <v>1</v>
      </c>
      <c r="AZ149" s="70">
        <f ca="1">MIN((AY149*AW149*(Kcmax-H149)),AU149*Kcmax)</f>
        <v>0.0260061530605348</v>
      </c>
      <c r="BA149" s="70">
        <f ca="1">MIN(((1-AY149)*AX149*(Kcmax-H149)),AV149*Kcmax)</f>
        <v>0</v>
      </c>
      <c r="BB149" s="70">
        <f ca="1" t="shared" si="28"/>
        <v>0.042155974111127</v>
      </c>
      <c r="BC149" s="70">
        <f ca="1">MIN((R149-AA149)/(R149*(1-(p+0.04*(5-I148)))),1)</f>
        <v>1</v>
      </c>
      <c r="BD149" s="10">
        <f ca="1" t="shared" si="29"/>
        <v>1.52522346258441</v>
      </c>
      <c r="BE149" s="70">
        <f ca="1">MIN(IF((1-AA149/R149)&gt;0,(1-Y149/TEW)/(1-AA149/R149)*(Ze/P149)^0.6,0),1)*BC149*H149*B149</f>
        <v>0.655506316625076</v>
      </c>
      <c r="BF149" s="70">
        <f ca="1">MIN(IF((1-AA149/R149)&gt;0,(1-Z149/TEW)/(1-AA149/R149)*(Ze/P149)^0.6,0),1)*BC149*H149*B149</f>
        <v>0.659842848800194</v>
      </c>
      <c r="BH149" s="10">
        <f ca="1" t="shared" si="30"/>
        <v>0.063558764696482</v>
      </c>
      <c r="BI149" s="10">
        <f ca="1">IF(F149&lt;&gt;"",(Moy_Etobs-F149)^2,"")</f>
        <v>0.0862020008754707</v>
      </c>
    </row>
    <row r="150" spans="1:61">
      <c r="A150" s="38">
        <v>39143</v>
      </c>
      <c r="B150" s="10">
        <v>1.28</v>
      </c>
      <c r="C150" s="39">
        <v>0</v>
      </c>
      <c r="D150">
        <v>0.779</v>
      </c>
      <c r="E150" s="39">
        <v>0</v>
      </c>
      <c r="F150" s="10">
        <v>1.3643946</v>
      </c>
      <c r="G150" s="10">
        <f ca="1">MIN(MAX(IF(AND(Durpla&gt;ROW()-MATCH(NDVImax,INDEX(D:D,Lig_min,1):INDEX(D:D,Lig_max,1),0)-Lig_min+1,ROW()-MATCH(NDVImax,INDEX(D:D,Lig_min,1):INDEX(D:D,Lig_max,1),0)-Lig_min+1&gt;0,D150*a_fc+b_fc&gt;fc_fin),NDVImax*a_fc+b_fc,D150*a_fc+b_fc),0),1)</f>
        <v>0.838666666666667</v>
      </c>
      <c r="H150" s="55">
        <f>MIN(MAX(D150*a_kcb+b_kcb,0),Kcmax)</f>
        <v>0.945424330783855</v>
      </c>
      <c r="I150" s="70">
        <f ca="1" t="shared" si="22"/>
        <v>1.2417970442864</v>
      </c>
      <c r="O150" s="55"/>
      <c r="P150" s="35">
        <f ca="1">IF(ROW()-MATCH(NDVImax,INDEX(D:D,Lig_min,1):INDEX(D:D,Lig_max,1),0)-Lig_min+1&gt;0,MAX(MIN(Zr_min+MAX(INDEX(G:G,Lig_min,1):INDEX(G:G,Lig_max,1))/MAX(MAX(INDEX(G:G,Lig_min,1):INDEX(G:G,Lig_max,1)),Max_fc_pour_Zrmax)*(Zr_max-Zr_min),Zr_max),Ze+0.001),MAX(MIN(Zr_min+G150/MAX(MAX(INDEX(G:G,Lig_min,1):INDEX(G:G,Lig_max,1)),Max_fc_pour_Zrmax)*(Zr_max-Zr_min),Zr_max),Ze+0.001))</f>
        <v>519.63969044663</v>
      </c>
      <c r="Q150" s="35">
        <f ca="1">IF(Z_sol&gt;0,Z_sol-P150,0.1)</f>
        <v>94.2348606178043</v>
      </c>
      <c r="R150" s="35">
        <f ca="1">(Wfc-Wwp)*P150</f>
        <v>67.5531597580619</v>
      </c>
      <c r="S150" s="35">
        <f ca="1">(Wfc-Wwp)*Q150</f>
        <v>12.2505318803146</v>
      </c>
      <c r="T150" s="99">
        <f ca="1" t="shared" si="31"/>
        <v>1.66453408414762</v>
      </c>
      <c r="U150" s="99">
        <f ca="1" t="shared" si="32"/>
        <v>1.19974347677496</v>
      </c>
      <c r="V150" s="99">
        <f ca="1">IF(P150&gt;P149,IF(Q150&gt;1,MAX(AI149+(Wfc-Wwp)*(P150-P149)*AJ149/S149,0),AI149/P149*P150),MAX(AI149+(Wfc-Wwp)*(P150-P149)*AI149/R149,0))</f>
        <v>3.63854166041057</v>
      </c>
      <c r="W150" s="99">
        <f ca="1">IF(S150&gt;1,IF(P150&gt;P149,MAX(AJ149-(Wfc-Wwp)*(P150-P149)*AJ149/S149,0),MAX(AJ149-(Wfc-Wwp)*(P150-P149)*AI149/R149,0)),0)</f>
        <v>1.78392569234072e-8</v>
      </c>
      <c r="X150" s="99">
        <f ca="1">IF(AND(OR(AND(dec_vide_TAW&lt;0,V150&gt;R150*(p+0.04*(5-I149))),AND(dec_vide_TAW&gt;0,V150&gt;R150*dec_vide_TAW)),H150&gt;MAX(INDEX(H:H,Lig_min,1):INDEX(H:H,ROW(X150),1))*Kcbmax_stop_irrig*IF(ROW(X150)-lig_kcbmax&gt;0,1,0),MIN(INDEX(H:H,ROW(X150),1):INDEX(H:H,lig_kcbmax,1))&gt;Kcbmin_start_irrig),MIN(MAX(V150-E150*Irri_man-C150,0),Lame_max),0)</f>
        <v>0</v>
      </c>
      <c r="Y150" s="99">
        <f ca="1">MIN(MAX(T150-C150-IF(fw&gt;0,X150/fw*Irri_auto+E150/fw*Irri_man,0),0),TEW)</f>
        <v>1.66453408414762</v>
      </c>
      <c r="Z150" s="99">
        <f ca="1">MIN(MAX(U150-C150,0),TEW)</f>
        <v>1.19974347677496</v>
      </c>
      <c r="AA150" s="99">
        <f ca="1">MIN(MAX(V150-C150-(X150*Irri_auto+E150*Irri_man),0),R150)</f>
        <v>3.63854166041057</v>
      </c>
      <c r="AB150" s="99">
        <f ca="1">MIN(MAX(W150+MIN(V150-C150-(X150*Irri_auto+E150*Irri_man),0),0),S150)</f>
        <v>1.78392569234072e-8</v>
      </c>
      <c r="AC150" s="99">
        <f ca="1">-MIN(W150+MIN(V150-C150-(X150*Irri_auto+E150*Irri_man),0),0)</f>
        <v>0</v>
      </c>
      <c r="AD150" s="39">
        <f ca="1">IF(((R150-AA150)/P150-((Wfc-Wwp)*Ze-Y150)/Ze)/Wfc*DiffE&lt;0,MAX(((R150-AA150)/P150-((Wfc-Wwp)*Ze-Y150)/Ze)/Wfc*DiffE,(R150*Ze-((Wfc-Wwp)*Ze-Y150-AA150)*P150)/(P150+Ze)-AA150),MIN(((R150-AA150)/P150-((Wfc-Wwp)*Ze-Y150)/Ze)/Wfc*DiffE,(R150*Ze-((Wfc-Wwp)*Ze-Y150-AA150)*P150)/(P150+Ze)-AA150))</f>
        <v>1.57855635823545e-8</v>
      </c>
      <c r="AE150" s="39">
        <f ca="1">IF(((R150-AA150)/P150-((Wfc-Wwp)*Ze-Z150)/Ze)/Wfc*DiffE&lt;0,MAX(((R150-AA150)/P150-((Wfc-Wwp)*Ze-Z150)/Ze)/Wfc*DiffE,(R150*Ze-((Wfc-Wwp)*Ze-Z150-AA150)*P150)/(P150+Ze)-AA150),MIN(((R150-AA150)/P150-((Wfc-Wwp)*Ze-Z150)/Ze)/Wfc*DiffE,(R150*Ze-((Wfc-Wwp)*Ze-Z150-AA150)*P150)/(P150+Ze)-AA150))</f>
        <v>6.48975143490126e-9</v>
      </c>
      <c r="AF150" s="39">
        <f ca="1">IF(((S150-AB150)/Q150-(R150-AA150)/P150)/Wfc*DiffR&lt;0,MAX(((S150-AB150)/Q150-(R150-AA150)/P150)/Wfc*DiffR,(S150*P150-(R150-AA150-AB150)*Q150)/(P150+Q150)-AB150),MIN(((S150-AB150)/Q150-(R150-AA150)/P150)/Wfc*DiffR,(S150*P150-(R150-AA150-AB150)*Q150)/(P150+Q150)-AB150))</f>
        <v>1.75051176273321e-8</v>
      </c>
      <c r="AG150" s="99">
        <f ca="1">MIN(MAX(Y150+IF(AU150&gt;0,B150*AZ150/AU150,0)+BE150-AD150,0),TEW)</f>
        <v>2.377409324189</v>
      </c>
      <c r="AH150" s="99">
        <f ca="1">MIN(MAX(Z150+IF(AV150&gt;0,B150*BA150/AV150,0)+BF150-AE150,0),TEW)</f>
        <v>1.72405009008245</v>
      </c>
      <c r="AI150" s="99">
        <f ca="1" t="shared" si="23"/>
        <v>4.88033868719185</v>
      </c>
      <c r="AJ150" s="99">
        <f ca="1" t="shared" si="24"/>
        <v>3.53443745507393e-8</v>
      </c>
      <c r="AK150" s="70">
        <f ca="1">IF((AU150+AV150)&gt;0,(TEW-(AG150*AU150+AH150*AV150)/(AU150+AV150))/TEW,(TEW-(AG150+AH150)/2)/TEW)</f>
        <v>0.928229152477313</v>
      </c>
      <c r="AL150" s="70">
        <f ca="1" t="shared" si="25"/>
        <v>0.927755582349212</v>
      </c>
      <c r="AM150" s="70">
        <f ca="1" t="shared" si="26"/>
        <v>0.99999999711487</v>
      </c>
      <c r="AN150" s="70">
        <f ca="1">Wwp+(Wfc-Wwp)*IF((AU150+AV150)&gt;0,(TEW-(AG150*AU150+AH150*AV150)/(AU150+AV150))/TEW,(TEW-(AG150+AH150)/2)/TEW)</f>
        <v>0.390669789822051</v>
      </c>
      <c r="AO150" s="70">
        <f ca="1">Wwp+(Wfc-Wwp)*(R150-AI150)/R150</f>
        <v>0.390608225705398</v>
      </c>
      <c r="AP150" s="70">
        <f ca="1">Wwp+(Wfc-Wwp)*(S150-AJ150)/S150</f>
        <v>0.399999999624933</v>
      </c>
      <c r="AQ150" s="70"/>
      <c r="AR150" s="70"/>
      <c r="AS150" s="70"/>
      <c r="AT150" s="70"/>
      <c r="AU150" s="70">
        <f ca="1">MIN((1-G150),fw)</f>
        <v>0.161333333333333</v>
      </c>
      <c r="AV150" s="70">
        <f ca="1" t="shared" si="27"/>
        <v>0</v>
      </c>
      <c r="AW150" s="70">
        <f ca="1">MIN((TEW-Y150)/(TEW-REW),1)</f>
        <v>0.12088245957914</v>
      </c>
      <c r="AX150" s="70">
        <f ca="1">MIN((TEW-Z150)/(TEW-REW),1)</f>
        <v>0.12266835276835</v>
      </c>
      <c r="AY150" s="70">
        <f ca="1">IF((AU150*(TEW-Y150))&gt;0,1/(1+((AV150*(TEW-Z150))/(AU150*(TEW-Y150)))),0)</f>
        <v>1</v>
      </c>
      <c r="AZ150" s="70">
        <f ca="1">MIN((AY150*AW150*(Kcmax-H150)),AU150*Kcmax)</f>
        <v>0.0247296100648961</v>
      </c>
      <c r="BA150" s="70">
        <f ca="1">MIN(((1-AY150)*AX150*(Kcmax-H150)),AV150*Kcmax)</f>
        <v>0</v>
      </c>
      <c r="BB150" s="70">
        <f ca="1" t="shared" si="28"/>
        <v>0.031653900883067</v>
      </c>
      <c r="BC150" s="70">
        <f ca="1">MIN((R150-AA150)/(R150*(1-(p+0.04*(5-I149)))),1)</f>
        <v>1</v>
      </c>
      <c r="BD150" s="10">
        <f ca="1" t="shared" si="29"/>
        <v>1.21014314340333</v>
      </c>
      <c r="BE150" s="70">
        <f ca="1">MIN(IF((1-AA150/R150)&gt;0,(1-Y150/TEW)/(1-AA150/R150)*(Ze/P150)^0.6,0),1)*BC150*H150*B150</f>
        <v>0.516673390849254</v>
      </c>
      <c r="BF150" s="70">
        <f ca="1">MIN(IF((1-AA150/R150)&gt;0,(1-Z150/TEW)/(1-AA150/R150)*(Ze/P150)^0.6,0),1)*BC150*H150*B150</f>
        <v>0.524306619797243</v>
      </c>
      <c r="BH150" s="10">
        <f ca="1" t="shared" si="30"/>
        <v>0.015030160666949</v>
      </c>
      <c r="BI150" s="10">
        <f ca="1">IF(F150&lt;&gt;"",(Moy_Etobs-F150)^2,"")</f>
        <v>0.0597694790879457</v>
      </c>
    </row>
    <row r="151" spans="1:61">
      <c r="A151" s="38">
        <v>39144</v>
      </c>
      <c r="B151" s="10">
        <v>0.988</v>
      </c>
      <c r="C151" s="39">
        <v>0.594</v>
      </c>
      <c r="D151">
        <v>0.782</v>
      </c>
      <c r="E151" s="39">
        <v>0</v>
      </c>
      <c r="F151" s="10">
        <v>0.8513388</v>
      </c>
      <c r="G151" s="10">
        <f ca="1">MIN(MAX(IF(AND(Durpla&gt;ROW()-MATCH(NDVImax,INDEX(D:D,Lig_min,1):INDEX(D:D,Lig_max,1),0)-Lig_min+1,ROW()-MATCH(NDVImax,INDEX(D:D,Lig_min,1):INDEX(D:D,Lig_max,1),0)-Lig_min+1&gt;0,D151*a_fc+b_fc&gt;fc_fin),NDVImax*a_fc+b_fc,D151*a_fc+b_fc),0),1)</f>
        <v>0.842666666666667</v>
      </c>
      <c r="H151" s="55">
        <f>MIN(MAX(D151*a_kcb+b_kcb,0),Kcmax)</f>
        <v>0.949933508832108</v>
      </c>
      <c r="I151" s="70">
        <f ca="1" t="shared" si="22"/>
        <v>0.962338335813637</v>
      </c>
      <c r="O151" s="55"/>
      <c r="P151" s="35">
        <f ca="1">IF(ROW()-MATCH(NDVImax,INDEX(D:D,Lig_min,1):INDEX(D:D,Lig_max,1),0)-Lig_min+1&gt;0,MAX(MIN(Zr_min+MAX(INDEX(G:G,Lig_min,1):INDEX(G:G,Lig_max,1))/MAX(MAX(INDEX(G:G,Lig_min,1):INDEX(G:G,Lig_max,1)),Max_fc_pour_Zrmax)*(Zr_max-Zr_min),Zr_max),Ze+0.001),MAX(MIN(Zr_min+G151/MAX(MAX(INDEX(G:G,Lig_min,1):INDEX(G:G,Lig_max,1)),Max_fc_pour_Zrmax)*(Zr_max-Zr_min),Zr_max),Ze+0.001))</f>
        <v>521.521914725389</v>
      </c>
      <c r="Q151" s="35">
        <f ca="1">IF(Z_sol&gt;0,Z_sol-P151,0.1)</f>
        <v>92.3526363390446</v>
      </c>
      <c r="R151" s="35">
        <f ca="1">(Wfc-Wwp)*P151</f>
        <v>67.7978489143006</v>
      </c>
      <c r="S151" s="35">
        <f ca="1">(Wfc-Wwp)*Q151</f>
        <v>12.0058427240758</v>
      </c>
      <c r="T151" s="99">
        <f ca="1" t="shared" si="31"/>
        <v>2.377409324189</v>
      </c>
      <c r="U151" s="99">
        <f ca="1" t="shared" si="32"/>
        <v>1.72405009008245</v>
      </c>
      <c r="V151" s="99">
        <f ca="1">IF(P151&gt;P150,IF(Q151&gt;1,MAX(AI150+(Wfc-Wwp)*(P151-P150)*AJ150/S150,0),AI150/P150*P151),MAX(AI150+(Wfc-Wwp)*(P151-P150)*AI150/R150,0))</f>
        <v>4.88033868789781</v>
      </c>
      <c r="W151" s="99">
        <f ca="1">IF(S151&gt;1,IF(P151&gt;P150,MAX(AJ150-(Wfc-Wwp)*(P151-P150)*AJ150/S150,0),MAX(AJ150-(Wfc-Wwp)*(P151-P150)*AI150/R150,0)),0)</f>
        <v>3.4638414575197e-8</v>
      </c>
      <c r="X151" s="99">
        <f ca="1">IF(AND(OR(AND(dec_vide_TAW&lt;0,V151&gt;R151*(p+0.04*(5-I150))),AND(dec_vide_TAW&gt;0,V151&gt;R151*dec_vide_TAW)),H151&gt;MAX(INDEX(H:H,Lig_min,1):INDEX(H:H,ROW(X151),1))*Kcbmax_stop_irrig*IF(ROW(X151)-lig_kcbmax&gt;0,1,0),MIN(INDEX(H:H,ROW(X151),1):INDEX(H:H,lig_kcbmax,1))&gt;Kcbmin_start_irrig),MIN(MAX(V151-E151*Irri_man-C151,0),Lame_max),0)</f>
        <v>0</v>
      </c>
      <c r="Y151" s="99">
        <f ca="1">MIN(MAX(T151-C151-IF(fw&gt;0,X151/fw*Irri_auto+E151/fw*Irri_man,0),0),TEW)</f>
        <v>1.783409324189</v>
      </c>
      <c r="Z151" s="99">
        <f ca="1">MIN(MAX(U151-C151,0),TEW)</f>
        <v>1.13005009008245</v>
      </c>
      <c r="AA151" s="99">
        <f ca="1">MIN(MAX(V151-C151-(X151*Irri_auto+E151*Irri_man),0),R151)</f>
        <v>4.28633868789781</v>
      </c>
      <c r="AB151" s="99">
        <f ca="1">MIN(MAX(W151+MIN(V151-C151-(X151*Irri_auto+E151*Irri_man),0),0),S151)</f>
        <v>3.4638414575197e-8</v>
      </c>
      <c r="AC151" s="99">
        <f ca="1">-MIN(W151+MIN(V151-C151-(X151*Irri_auto+E151*Irri_man),0),0)</f>
        <v>0</v>
      </c>
      <c r="AD151" s="39">
        <f ca="1">IF(((R151-AA151)/P151-((Wfc-Wwp)*Ze-Y151)/Ze)/Wfc*DiffE&lt;0,MAX(((R151-AA151)/P151-((Wfc-Wwp)*Ze-Y151)/Ze)/Wfc*DiffE,(R151*Ze-((Wfc-Wwp)*Ze-Y151-AA151)*P151)/(P151+Ze)-AA151),MIN(((R151-AA151)/P151-((Wfc-Wwp)*Ze-Y151)/Ze)/Wfc*DiffE,(R151*Ze-((Wfc-Wwp)*Ze-Y151-AA151)*P151)/(P151+Ze)-AA151))</f>
        <v>1.51209258276539e-8</v>
      </c>
      <c r="AE151" s="39">
        <f ca="1">IF(((R151-AA151)/P151-((Wfc-Wwp)*Ze-Z151)/Ze)/Wfc*DiffE&lt;0,MAX(((R151-AA151)/P151-((Wfc-Wwp)*Ze-Z151)/Ze)/Wfc*DiffE,(R151*Ze-((Wfc-Wwp)*Ze-Z151-AA151)*P151)/(P151+Ze)-AA151),MIN(((R151-AA151)/P151-((Wfc-Wwp)*Ze-Z151)/Ze)/Wfc*DiffE,(R151*Ze-((Wfc-Wwp)*Ze-Z151-AA151)*P151)/(P151+Ze)-AA151))</f>
        <v>2.05374114552296e-9</v>
      </c>
      <c r="AF151" s="39">
        <f ca="1">IF(((S151-AB151)/Q151-(R151-AA151)/P151)/Wfc*DiffR&lt;0,MAX(((S151-AB151)/Q151-(R151-AA151)/P151)/Wfc*DiffR,(S151*P151-(R151-AA151-AB151)*Q151)/(P151+Q151)-AB151),MIN(((S151-AB151)/Q151-(R151-AA151)/P151)/Wfc*DiffR,(S151*P151-(R151-AA151-AB151)*Q151)/(P151+Q151)-AB151))</f>
        <v>2.05472597184589e-8</v>
      </c>
      <c r="AG151" s="99">
        <f ca="1">MIN(MAX(Y151+IF(AU151&gt;0,B151*AZ151/AU151,0)+BE151-AD151,0),TEW)</f>
        <v>2.33701649060081</v>
      </c>
      <c r="AH151" s="99">
        <f ca="1">MIN(MAX(Z151+IF(AV151&gt;0,B151*BA151/AV151,0)+BF151-AE151,0),TEW)</f>
        <v>1.54074719644831</v>
      </c>
      <c r="AI151" s="99">
        <f ca="1" t="shared" si="23"/>
        <v>5.24867700316419</v>
      </c>
      <c r="AJ151" s="99">
        <f ca="1" t="shared" si="24"/>
        <v>5.51856742936559e-8</v>
      </c>
      <c r="AK151" s="70">
        <f ca="1">IF((AU151+AV151)&gt;0,(TEW-(AG151*AU151+AH151*AV151)/(AU151+AV151))/TEW,(TEW-(AG151+AH151)/2)/TEW)</f>
        <v>0.929448558774315</v>
      </c>
      <c r="AL151" s="70">
        <f ca="1" t="shared" si="25"/>
        <v>0.922583428719121</v>
      </c>
      <c r="AM151" s="70">
        <f ca="1" t="shared" si="26"/>
        <v>0.999999995403432</v>
      </c>
      <c r="AN151" s="70">
        <f ca="1">Wwp+(Wfc-Wwp)*IF((AU151+AV151)&gt;0,(TEW-(AG151*AU151+AH151*AV151)/(AU151+AV151))/TEW,(TEW-(AG151+AH151)/2)/TEW)</f>
        <v>0.390828312640661</v>
      </c>
      <c r="AO151" s="70">
        <f ca="1">Wwp+(Wfc-Wwp)*(R151-AI151)/R151</f>
        <v>0.389935845733486</v>
      </c>
      <c r="AP151" s="70">
        <f ca="1">Wwp+(Wfc-Wwp)*(S151-AJ151)/S151</f>
        <v>0.399999999402446</v>
      </c>
      <c r="AQ151" s="70"/>
      <c r="AR151" s="70"/>
      <c r="AS151" s="70"/>
      <c r="AT151" s="70"/>
      <c r="AU151" s="70">
        <f ca="1">MIN((1-G151),fw)</f>
        <v>0.157333333333333</v>
      </c>
      <c r="AV151" s="70">
        <f ca="1" t="shared" si="27"/>
        <v>0</v>
      </c>
      <c r="AW151" s="70">
        <f ca="1">MIN((TEW-Y151)/(TEW-REW),1)</f>
        <v>0.120425698022026</v>
      </c>
      <c r="AX151" s="70">
        <f ca="1">MIN((TEW-Z151)/(TEW-REW),1)</f>
        <v>0.122936139902282</v>
      </c>
      <c r="AY151" s="70">
        <f ca="1">IF((AU151*(TEW-Y151))&gt;0,1/(1+((AV151*(TEW-Z151))/(AU151*(TEW-Y151)))),0)</f>
        <v>1</v>
      </c>
      <c r="AZ151" s="70">
        <f ca="1">MIN((AY151*AW151*(Kcmax-H151)),AU151*Kcmax)</f>
        <v>0.0240931468497107</v>
      </c>
      <c r="BA151" s="70">
        <f ca="1">MIN(((1-AY151)*AX151*(Kcmax-H151)),AV151*Kcmax)</f>
        <v>0</v>
      </c>
      <c r="BB151" s="70">
        <f ca="1" t="shared" si="28"/>
        <v>0.0238040290875142</v>
      </c>
      <c r="BC151" s="70">
        <f ca="1">MIN((R151-AA151)/(R151*(1-(p+0.04*(5-I150)))),1)</f>
        <v>1</v>
      </c>
      <c r="BD151" s="10">
        <f ca="1" t="shared" si="29"/>
        <v>0.938534306726123</v>
      </c>
      <c r="BE151" s="70">
        <f ca="1">MIN(IF((1-AA151/R151)&gt;0,(1-Y151/TEW)/(1-AA151/R151)*(Ze/P151)^0.6,0),1)*BC151*H151*B151</f>
        <v>0.402310386484972</v>
      </c>
      <c r="BF151" s="70">
        <f ca="1">MIN(IF((1-AA151/R151)&gt;0,(1-Z151/TEW)/(1-AA151/R151)*(Ze/P151)^0.6,0),1)*BC151*H151*B151</f>
        <v>0.410697108419599</v>
      </c>
      <c r="BH151" s="10">
        <f ca="1" t="shared" si="30"/>
        <v>0.012320896950843</v>
      </c>
      <c r="BI151" s="10">
        <f ca="1">IF(F151&lt;&gt;"",(Moy_Etobs-F151)^2,"")</f>
        <v>0.573857416633739</v>
      </c>
    </row>
    <row r="152" spans="1:61">
      <c r="A152" s="38">
        <v>39145</v>
      </c>
      <c r="B152" s="10">
        <v>1.923</v>
      </c>
      <c r="C152" s="39">
        <v>0.198</v>
      </c>
      <c r="D152">
        <v>0.785</v>
      </c>
      <c r="E152" s="39">
        <v>0</v>
      </c>
      <c r="F152"/>
      <c r="G152" s="10">
        <f ca="1">MIN(MAX(IF(AND(Durpla&gt;ROW()-MATCH(NDVImax,INDEX(D:D,Lig_min,1):INDEX(D:D,Lig_max,1),0)-Lig_min+1,ROW()-MATCH(NDVImax,INDEX(D:D,Lig_min,1):INDEX(D:D,Lig_max,1),0)-Lig_min+1&gt;0,D152*a_fc+b_fc&gt;fc_fin),NDVImax*a_fc+b_fc,D152*a_fc+b_fc),0),1)</f>
        <v>0.846666666666667</v>
      </c>
      <c r="H152" s="55">
        <f>MIN(MAX(D152*a_kcb+b_kcb,0),Kcmax)</f>
        <v>0.954442686880362</v>
      </c>
      <c r="I152" s="70">
        <f ca="1" t="shared" si="22"/>
        <v>1.88016634605048</v>
      </c>
      <c r="O152" s="55"/>
      <c r="P152" s="35">
        <f ca="1">IF(ROW()-MATCH(NDVImax,INDEX(D:D,Lig_min,1):INDEX(D:D,Lig_max,1),0)-Lig_min+1&gt;0,MAX(MIN(Zr_min+MAX(INDEX(G:G,Lig_min,1):INDEX(G:G,Lig_max,1))/MAX(MAX(INDEX(G:G,Lig_min,1):INDEX(G:G,Lig_max,1)),Max_fc_pour_Zrmax)*(Zr_max-Zr_min),Zr_max),Ze+0.001),MAX(MIN(Zr_min+G152/MAX(MAX(INDEX(G:G,Lig_min,1):INDEX(G:G,Lig_max,1)),Max_fc_pour_Zrmax)*(Zr_max-Zr_min),Zr_max),Ze+0.001))</f>
        <v>523.404139004149</v>
      </c>
      <c r="Q152" s="35">
        <f ca="1">IF(Z_sol&gt;0,Z_sol-P152,0.1)</f>
        <v>90.4704120602847</v>
      </c>
      <c r="R152" s="35">
        <f ca="1">(Wfc-Wwp)*P152</f>
        <v>68.0425380705394</v>
      </c>
      <c r="S152" s="35">
        <f ca="1">(Wfc-Wwp)*Q152</f>
        <v>11.761153567837</v>
      </c>
      <c r="T152" s="99">
        <f ca="1" t="shared" si="31"/>
        <v>2.33701649060081</v>
      </c>
      <c r="U152" s="99">
        <f ca="1" t="shared" si="32"/>
        <v>1.54074719644831</v>
      </c>
      <c r="V152" s="99">
        <f ca="1">IF(P152&gt;P151,IF(Q152&gt;1,MAX(AI151+(Wfc-Wwp)*(P152-P151)*AJ151/S151,0),AI151/P151*P152),MAX(AI151+(Wfc-Wwp)*(P152-P151)*AI151/R151,0))</f>
        <v>5.24867700428892</v>
      </c>
      <c r="W152" s="99">
        <f ca="1">IF(S152&gt;1,IF(P152&gt;P151,MAX(AJ151-(Wfc-Wwp)*(P152-P151)*AJ151/S151,0),MAX(AJ151-(Wfc-Wwp)*(P152-P151)*AI151/R151,0)),0)</f>
        <v>5.40609439111478e-8</v>
      </c>
      <c r="X152" s="99">
        <f ca="1">IF(AND(OR(AND(dec_vide_TAW&lt;0,V152&gt;R152*(p+0.04*(5-I151))),AND(dec_vide_TAW&gt;0,V152&gt;R152*dec_vide_TAW)),H152&gt;MAX(INDEX(H:H,Lig_min,1):INDEX(H:H,ROW(X152),1))*Kcbmax_stop_irrig*IF(ROW(X152)-lig_kcbmax&gt;0,1,0),MIN(INDEX(H:H,ROW(X152),1):INDEX(H:H,lig_kcbmax,1))&gt;Kcbmin_start_irrig),MIN(MAX(V152-E152*Irri_man-C152,0),Lame_max),0)</f>
        <v>0</v>
      </c>
      <c r="Y152" s="99">
        <f ca="1">MIN(MAX(T152-C152-IF(fw&gt;0,X152/fw*Irri_auto+E152/fw*Irri_man,0),0),TEW)</f>
        <v>2.13901649060081</v>
      </c>
      <c r="Z152" s="99">
        <f ca="1">MIN(MAX(U152-C152,0),TEW)</f>
        <v>1.34274719644831</v>
      </c>
      <c r="AA152" s="99">
        <f ca="1">MIN(MAX(V152-C152-(X152*Irri_auto+E152*Irri_man),0),R152)</f>
        <v>5.05067700428892</v>
      </c>
      <c r="AB152" s="99">
        <f ca="1">MIN(MAX(W152+MIN(V152-C152-(X152*Irri_auto+E152*Irri_man),0),0),S152)</f>
        <v>5.40609439111478e-8</v>
      </c>
      <c r="AC152" s="99">
        <f ca="1">-MIN(W152+MIN(V152-C152-(X152*Irri_auto+E152*Irri_man),0),0)</f>
        <v>0</v>
      </c>
      <c r="AD152" s="39">
        <f ca="1">IF(((R152-AA152)/P152-((Wfc-Wwp)*Ze-Y152)/Ze)/Wfc*DiffE&lt;0,MAX(((R152-AA152)/P152-((Wfc-Wwp)*Ze-Y152)/Ze)/Wfc*DiffE,(R152*Ze-((Wfc-Wwp)*Ze-Y152-AA152)*P152)/(P152+Ze)-AA152),MIN(((R152-AA152)/P152-((Wfc-Wwp)*Ze-Y152)/Ze)/Wfc*DiffE,(R152*Ze-((Wfc-Wwp)*Ze-Y152-AA152)*P152)/(P152+Ze)-AA152))</f>
        <v>1.86561558329064e-8</v>
      </c>
      <c r="AE152" s="39">
        <f ca="1">IF(((R152-AA152)/P152-((Wfc-Wwp)*Ze-Z152)/Ze)/Wfc*DiffE&lt;0,MAX(((R152-AA152)/P152-((Wfc-Wwp)*Ze-Z152)/Ze)/Wfc*DiffE,(R152*Ze-((Wfc-Wwp)*Ze-Z152-AA152)*P152)/(P152+Ze)-AA152),MIN(((R152-AA152)/P152-((Wfc-Wwp)*Ze-Z152)/Ze)/Wfc*DiffE,(R152*Ze-((Wfc-Wwp)*Ze-Z152-AA152)*P152)/(P152+Ze)-AA152))</f>
        <v>2.73076994985636e-9</v>
      </c>
      <c r="AF152" s="39">
        <f ca="1">IF(((S152-AB152)/Q152-(R152-AA152)/P152)/Wfc*DiffR&lt;0,MAX(((S152-AB152)/Q152-(R152-AA152)/P152)/Wfc*DiffR,(S152*P152-(R152-AA152-AB152)*Q152)/(P152+Q152)-AB152),MIN(((S152-AB152)/Q152-(R152-AA152)/P152)/Wfc*DiffR,(S152*P152-(R152-AA152-AB152)*Q152)/(P152+Q152)-AB152))</f>
        <v>2.41241724852251e-8</v>
      </c>
      <c r="AG152" s="99">
        <f ca="1">MIN(MAX(Y152+IF(AU152&gt;0,B152*AZ152/AU152,0)+BE152-AD152,0),TEW)</f>
        <v>3.2163919376772</v>
      </c>
      <c r="AH152" s="99">
        <f ca="1">MIN(MAX(Z152+IF(AV152&gt;0,B152*BA152/AV152,0)+BF152-AE152,0),TEW)</f>
        <v>2.14830685637691</v>
      </c>
      <c r="AI152" s="99">
        <f ca="1" t="shared" si="23"/>
        <v>6.93084332621522</v>
      </c>
      <c r="AJ152" s="99">
        <f ca="1" t="shared" si="24"/>
        <v>7.81851163963729e-8</v>
      </c>
      <c r="AK152" s="70">
        <f ca="1">IF((AU152+AV152)&gt;0,(TEW-(AG152*AU152+AH152*AV152)/(AU152+AV152))/TEW,(TEW-(AG152+AH152)/2)/TEW)</f>
        <v>0.902901375466349</v>
      </c>
      <c r="AL152" s="70">
        <f ca="1" t="shared" si="25"/>
        <v>0.898139553244912</v>
      </c>
      <c r="AM152" s="70">
        <f ca="1" t="shared" si="26"/>
        <v>0.999999993352258</v>
      </c>
      <c r="AN152" s="70">
        <f ca="1">Wwp+(Wfc-Wwp)*IF((AU152+AV152)&gt;0,(TEW-(AG152*AU152+AH152*AV152)/(AU152+AV152))/TEW,(TEW-(AG152+AH152)/2)/TEW)</f>
        <v>0.387377178810625</v>
      </c>
      <c r="AO152" s="70">
        <f ca="1">Wwp+(Wfc-Wwp)*(R152-AI152)/R152</f>
        <v>0.386758141921839</v>
      </c>
      <c r="AP152" s="70">
        <f ca="1">Wwp+(Wfc-Wwp)*(S152-AJ152)/S152</f>
        <v>0.399999999135794</v>
      </c>
      <c r="AQ152" s="70"/>
      <c r="AR152" s="70"/>
      <c r="AS152" s="70"/>
      <c r="AT152" s="70"/>
      <c r="AU152" s="70">
        <f ca="1">MIN((1-G152),fw)</f>
        <v>0.153333333333333</v>
      </c>
      <c r="AV152" s="70">
        <f ca="1" t="shared" si="27"/>
        <v>0</v>
      </c>
      <c r="AW152" s="70">
        <f ca="1">MIN((TEW-Y152)/(TEW-REW),1)</f>
        <v>0.119059327001494</v>
      </c>
      <c r="AX152" s="70">
        <f ca="1">MIN((TEW-Z152)/(TEW-REW),1)</f>
        <v>0.122118880888012</v>
      </c>
      <c r="AY152" s="70">
        <f ca="1">IF((AU152*(TEW-Y152))&gt;0,1/(1+((AV152*(TEW-Z152))/(AU152*(TEW-Y152)))),0)</f>
        <v>1</v>
      </c>
      <c r="AZ152" s="70">
        <f ca="1">MIN((AY152*AW152*(Kcmax-H152)),AU152*Kcmax)</f>
        <v>0.0232829220902446</v>
      </c>
      <c r="BA152" s="70">
        <f ca="1">MIN(((1-AY152)*AX152*(Kcmax-H152)),AV152*Kcmax)</f>
        <v>0</v>
      </c>
      <c r="BB152" s="70">
        <f ca="1" t="shared" si="28"/>
        <v>0.0447730591795403</v>
      </c>
      <c r="BC152" s="70">
        <f ca="1">MIN((R152-AA152)/(R152*(1-(p+0.04*(5-I151)))),1)</f>
        <v>1</v>
      </c>
      <c r="BD152" s="10">
        <f ca="1" t="shared" si="29"/>
        <v>1.83539328687094</v>
      </c>
      <c r="BE152" s="70">
        <f ca="1">MIN(IF((1-AA152/R152)&gt;0,(1-Y152/TEW)/(1-AA152/R152)*(Ze/P152)^0.6,0),1)*BC152*H152*B152</f>
        <v>0.785377253692069</v>
      </c>
      <c r="BF152" s="70">
        <f ca="1">MIN(IF((1-AA152/R152)&gt;0,(1-Z152/TEW)/(1-AA152/R152)*(Ze/P152)^0.6,0),1)*BC152*H152*B152</f>
        <v>0.805559662659373</v>
      </c>
      <c r="BH152" s="10" t="str">
        <f ca="1" t="shared" si="30"/>
        <v/>
      </c>
      <c r="BI152" s="10" t="str">
        <f ca="1">IF(F152&lt;&gt;"",(Moy_Etobs-F152)^2,"")</f>
        <v/>
      </c>
    </row>
    <row r="153" spans="1:61">
      <c r="A153" s="38">
        <v>39146</v>
      </c>
      <c r="B153" s="10">
        <v>1.651</v>
      </c>
      <c r="C153" s="39">
        <v>0</v>
      </c>
      <c r="D153">
        <v>0.788</v>
      </c>
      <c r="E153" s="39">
        <v>0</v>
      </c>
      <c r="F153" s="10">
        <v>1.7160894</v>
      </c>
      <c r="G153" s="10">
        <f ca="1">MIN(MAX(IF(AND(Durpla&gt;ROW()-MATCH(NDVImax,INDEX(D:D,Lig_min,1):INDEX(D:D,Lig_max,1),0)-Lig_min+1,ROW()-MATCH(NDVImax,INDEX(D:D,Lig_min,1):INDEX(D:D,Lig_max,1),0)-Lig_min+1&gt;0,D153*a_fc+b_fc&gt;fc_fin),NDVImax*a_fc+b_fc,D153*a_fc+b_fc),0),1)</f>
        <v>0.850666666666667</v>
      </c>
      <c r="H153" s="55">
        <f>MIN(MAX(D153*a_kcb+b_kcb,0),Kcmax)</f>
        <v>0.958951864928616</v>
      </c>
      <c r="I153" s="70">
        <f ca="1" t="shared" si="22"/>
        <v>1.61947754287006</v>
      </c>
      <c r="O153" s="55"/>
      <c r="P153" s="35">
        <f ca="1">IF(ROW()-MATCH(NDVImax,INDEX(D:D,Lig_min,1):INDEX(D:D,Lig_max,1),0)-Lig_min+1&gt;0,MAX(MIN(Zr_min+MAX(INDEX(G:G,Lig_min,1):INDEX(G:G,Lig_max,1))/MAX(MAX(INDEX(G:G,Lig_min,1):INDEX(G:G,Lig_max,1)),Max_fc_pour_Zrmax)*(Zr_max-Zr_min),Zr_max),Ze+0.001),MAX(MIN(Zr_min+G153/MAX(MAX(INDEX(G:G,Lig_min,1):INDEX(G:G,Lig_max,1)),Max_fc_pour_Zrmax)*(Zr_max-Zr_min),Zr_max),Ze+0.001))</f>
        <v>525.286363282909</v>
      </c>
      <c r="Q153" s="35">
        <f ca="1">IF(Z_sol&gt;0,Z_sol-P153,0.1)</f>
        <v>88.5881877815251</v>
      </c>
      <c r="R153" s="35">
        <f ca="1">(Wfc-Wwp)*P153</f>
        <v>68.2872272267782</v>
      </c>
      <c r="S153" s="35">
        <f ca="1">(Wfc-Wwp)*Q153</f>
        <v>11.5164644115983</v>
      </c>
      <c r="T153" s="99">
        <f ca="1" t="shared" si="31"/>
        <v>3.2163919376772</v>
      </c>
      <c r="U153" s="99">
        <f ca="1" t="shared" si="32"/>
        <v>2.14830685637691</v>
      </c>
      <c r="V153" s="99">
        <f ca="1">IF(P153&gt;P152,IF(Q153&gt;1,MAX(AI152+(Wfc-Wwp)*(P153-P152)*AJ152/S152,0),AI152/P152*P153),MAX(AI152+(Wfc-Wwp)*(P153-P152)*AI152/R152,0))</f>
        <v>6.93084332784185</v>
      </c>
      <c r="W153" s="99">
        <f ca="1">IF(S153&gt;1,IF(P153&gt;P152,MAX(AJ152-(Wfc-Wwp)*(P153-P152)*AJ152/S152,0),MAX(AJ152-(Wfc-Wwp)*(P153-P152)*AI152/R152,0)),0)</f>
        <v>7.65584859769067e-8</v>
      </c>
      <c r="X153" s="99">
        <f ca="1">IF(AND(OR(AND(dec_vide_TAW&lt;0,V153&gt;R153*(p+0.04*(5-I152))),AND(dec_vide_TAW&gt;0,V153&gt;R153*dec_vide_TAW)),H153&gt;MAX(INDEX(H:H,Lig_min,1):INDEX(H:H,ROW(X153),1))*Kcbmax_stop_irrig*IF(ROW(X153)-lig_kcbmax&gt;0,1,0),MIN(INDEX(H:H,ROW(X153),1):INDEX(H:H,lig_kcbmax,1))&gt;Kcbmin_start_irrig),MIN(MAX(V153-E153*Irri_man-C153,0),Lame_max),0)</f>
        <v>0</v>
      </c>
      <c r="Y153" s="99">
        <f ca="1">MIN(MAX(T153-C153-IF(fw&gt;0,X153/fw*Irri_auto+E153/fw*Irri_man,0),0),TEW)</f>
        <v>3.2163919376772</v>
      </c>
      <c r="Z153" s="99">
        <f ca="1">MIN(MAX(U153-C153,0),TEW)</f>
        <v>2.14830685637691</v>
      </c>
      <c r="AA153" s="99">
        <f ca="1">MIN(MAX(V153-C153-(X153*Irri_auto+E153*Irri_man),0),R153)</f>
        <v>6.93084332784185</v>
      </c>
      <c r="AB153" s="99">
        <f ca="1">MIN(MAX(W153+MIN(V153-C153-(X153*Irri_auto+E153*Irri_man),0),0),S153)</f>
        <v>7.65584859769067e-8</v>
      </c>
      <c r="AC153" s="99">
        <f ca="1">-MIN(W153+MIN(V153-C153-(X153*Irri_auto+E153*Irri_man),0),0)</f>
        <v>0</v>
      </c>
      <c r="AD153" s="39">
        <f ca="1">IF(((R153-AA153)/P153-((Wfc-Wwp)*Ze-Y153)/Ze)/Wfc*DiffE&lt;0,MAX(((R153-AA153)/P153-((Wfc-Wwp)*Ze-Y153)/Ze)/Wfc*DiffE,(R153*Ze-((Wfc-Wwp)*Ze-Y153-AA153)*P153)/(P153+Ze)-AA153),MIN(((R153-AA153)/P153-((Wfc-Wwp)*Ze-Y153)/Ze)/Wfc*DiffE,(R153*Ze-((Wfc-Wwp)*Ze-Y153-AA153)*P153)/(P153+Ze)-AA153))</f>
        <v>3.13418152609209e-8</v>
      </c>
      <c r="AE153" s="39">
        <f ca="1">IF(((R153-AA153)/P153-((Wfc-Wwp)*Ze-Z153)/Ze)/Wfc*DiffE&lt;0,MAX(((R153-AA153)/P153-((Wfc-Wwp)*Ze-Z153)/Ze)/Wfc*DiffE,(R153*Ze-((Wfc-Wwp)*Ze-Z153-AA153)*P153)/(P153+Ze)-AA153),MIN(((R153-AA153)/P153-((Wfc-Wwp)*Ze-Z153)/Ze)/Wfc*DiffE,(R153*Ze-((Wfc-Wwp)*Ze-Z153-AA153)*P153)/(P153+Ze)-AA153))</f>
        <v>9.98011363491508e-9</v>
      </c>
      <c r="AF153" s="39">
        <f ca="1">IF(((S153-AB153)/Q153-(R153-AA153)/P153)/Wfc*DiffR&lt;0,MAX(((S153-AB153)/Q153-(R153-AA153)/P153)/Wfc*DiffR,(S153*P153-(R153-AA153-AB153)*Q153)/(P153+Q153)-AB153),MIN(((S153-AB153)/Q153-(R153-AA153)/P153)/Wfc*DiffR,(S153*P153-(R153-AA153-AB153)*Q153)/(P153+Q153)-AB153))</f>
        <v>3.2986021332107e-8</v>
      </c>
      <c r="AG153" s="99">
        <f ca="1">MIN(MAX(Y153+IF(AU153&gt;0,B153*AZ153/AU153,0)+BE153-AD153,0),TEW)</f>
        <v>4.13143829012338</v>
      </c>
      <c r="AH153" s="99">
        <f ca="1">MIN(MAX(Z153+IF(AV153&gt;0,B153*BA153/AV153,0)+BF153-AE153,0),TEW)</f>
        <v>2.84463042709645</v>
      </c>
      <c r="AI153" s="99">
        <f ca="1" t="shared" si="23"/>
        <v>8.55032083772589</v>
      </c>
      <c r="AJ153" s="99">
        <f ca="1" t="shared" si="24"/>
        <v>1.09544507309014e-7</v>
      </c>
      <c r="AK153" s="70">
        <f ca="1">IF((AU153+AV153)&gt;0,(TEW-(AG153*AU153+AH153*AV153)/(AU153+AV153))/TEW,(TEW-(AG153+AH153)/2)/TEW)</f>
        <v>0.875277334637785</v>
      </c>
      <c r="AL153" s="70">
        <f ca="1" t="shared" si="25"/>
        <v>0.874788870701533</v>
      </c>
      <c r="AM153" s="70">
        <f ca="1" t="shared" si="26"/>
        <v>0.999999990488009</v>
      </c>
      <c r="AN153" s="70">
        <f ca="1">Wwp+(Wfc-Wwp)*IF((AU153+AV153)&gt;0,(TEW-(AG153*AU153+AH153*AV153)/(AU153+AV153))/TEW,(TEW-(AG153+AH153)/2)/TEW)</f>
        <v>0.383786053502912</v>
      </c>
      <c r="AO153" s="70">
        <f ca="1">Wwp+(Wfc-Wwp)*(R153-AI153)/R153</f>
        <v>0.383722553191199</v>
      </c>
      <c r="AP153" s="70">
        <f ca="1">Wwp+(Wfc-Wwp)*(S153-AJ153)/S153</f>
        <v>0.399999998763441</v>
      </c>
      <c r="AQ153" s="70"/>
      <c r="AR153" s="70"/>
      <c r="AS153" s="70"/>
      <c r="AT153" s="70"/>
      <c r="AU153" s="70">
        <f ca="1">MIN((1-G153),fw)</f>
        <v>0.149333333333333</v>
      </c>
      <c r="AV153" s="70">
        <f ca="1" t="shared" si="27"/>
        <v>0</v>
      </c>
      <c r="AW153" s="70">
        <f ca="1">MIN((TEW-Y153)/(TEW-REW),1)</f>
        <v>0.114919661864903</v>
      </c>
      <c r="AX153" s="70">
        <f ca="1">MIN((TEW-Z153)/(TEW-REW),1)</f>
        <v>0.119023630064634</v>
      </c>
      <c r="AY153" s="70">
        <f ca="1">IF((AU153*(TEW-Y153))&gt;0,1/(1+((AV153*(TEW-Z153))/(AU153*(TEW-Y153)))),0)</f>
        <v>1</v>
      </c>
      <c r="AZ153" s="70">
        <f ca="1">MIN((AY153*AW153*(Kcmax-H153)),AU153*Kcmax)</f>
        <v>0.0219551870823238</v>
      </c>
      <c r="BA153" s="70">
        <f ca="1">MIN(((1-AY153)*AX153*(Kcmax-H153)),AV153*Kcmax)</f>
        <v>0</v>
      </c>
      <c r="BB153" s="70">
        <f ca="1" t="shared" si="28"/>
        <v>0.0362480138729166</v>
      </c>
      <c r="BC153" s="70">
        <f ca="1">MIN((R153-AA153)/(R153*(1-(p+0.04*(5-I152)))),1)</f>
        <v>1</v>
      </c>
      <c r="BD153" s="10">
        <f ca="1" t="shared" si="29"/>
        <v>1.58322952899714</v>
      </c>
      <c r="BE153" s="70">
        <f ca="1">MIN(IF((1-AA153/R153)&gt;0,(1-Y153/TEW)/(1-AA153/R153)*(Ze/P153)^0.6,0),1)*BC153*H153*B153</f>
        <v>0.672314148031854</v>
      </c>
      <c r="BF153" s="70">
        <f ca="1">MIN(IF((1-AA153/R153)&gt;0,(1-Z153/TEW)/(1-AA153/R153)*(Ze/P153)^0.6,0),1)*BC153*H153*B153</f>
        <v>0.696323580699653</v>
      </c>
      <c r="BH153" s="10">
        <f ca="1" t="shared" si="30"/>
        <v>0.00933385093809566</v>
      </c>
      <c r="BI153" s="10">
        <f ca="1">IF(F153&lt;&gt;"",(Moy_Etobs-F153)^2,"")</f>
        <v>0.011495448077134</v>
      </c>
    </row>
    <row r="154" spans="1:61">
      <c r="A154" s="38">
        <v>39147</v>
      </c>
      <c r="B154" s="10">
        <v>1.173</v>
      </c>
      <c r="C154" s="39">
        <v>1.584</v>
      </c>
      <c r="D154">
        <v>0.792</v>
      </c>
      <c r="E154" s="39">
        <v>0</v>
      </c>
      <c r="F154" s="10">
        <v>1.2346488</v>
      </c>
      <c r="G154" s="10">
        <f ca="1">MIN(MAX(IF(AND(Durpla&gt;ROW()-MATCH(NDVImax,INDEX(D:D,Lig_min,1):INDEX(D:D,Lig_max,1),0)-Lig_min+1,ROW()-MATCH(NDVImax,INDEX(D:D,Lig_min,1):INDEX(D:D,Lig_max,1),0)-Lig_min+1&gt;0,D154*a_fc+b_fc&gt;fc_fin),NDVImax*a_fc+b_fc,D154*a_fc+b_fc),0),1)</f>
        <v>0.856</v>
      </c>
      <c r="H154" s="55">
        <f>MIN(MAX(D154*a_kcb+b_kcb,0),Kcmax)</f>
        <v>0.964964102326287</v>
      </c>
      <c r="I154" s="70">
        <f ca="1" t="shared" si="22"/>
        <v>1.15740376175967</v>
      </c>
      <c r="O154" s="55"/>
      <c r="P154" s="35">
        <f ca="1">IF(ROW()-MATCH(NDVImax,INDEX(D:D,Lig_min,1):INDEX(D:D,Lig_max,1),0)-Lig_min+1&gt;0,MAX(MIN(Zr_min+MAX(INDEX(G:G,Lig_min,1):INDEX(G:G,Lig_max,1))/MAX(MAX(INDEX(G:G,Lig_min,1):INDEX(G:G,Lig_max,1)),Max_fc_pour_Zrmax)*(Zr_max-Zr_min),Zr_max),Ze+0.001),MAX(MIN(Zr_min+G154/MAX(MAX(INDEX(G:G,Lig_min,1):INDEX(G:G,Lig_max,1)),Max_fc_pour_Zrmax)*(Zr_max-Zr_min),Zr_max),Ze+0.001))</f>
        <v>527.795995654589</v>
      </c>
      <c r="Q154" s="35">
        <f ca="1">IF(Z_sol&gt;0,Z_sol-P154,0.1)</f>
        <v>86.0785554098453</v>
      </c>
      <c r="R154" s="35">
        <f ca="1">(Wfc-Wwp)*P154</f>
        <v>68.6134794350965</v>
      </c>
      <c r="S154" s="35">
        <f ca="1">(Wfc-Wwp)*Q154</f>
        <v>11.1902122032799</v>
      </c>
      <c r="T154" s="99">
        <f ca="1" t="shared" si="31"/>
        <v>4.13143829012338</v>
      </c>
      <c r="U154" s="99">
        <f ca="1" t="shared" si="32"/>
        <v>2.84463042709645</v>
      </c>
      <c r="V154" s="99">
        <f ca="1">IF(P154&gt;P153,IF(Q154&gt;1,MAX(AI153+(Wfc-Wwp)*(P154-P153)*AJ153/S153,0),AI153/P153*P154),MAX(AI153+(Wfc-Wwp)*(P154-P153)*AI153/R153,0))</f>
        <v>8.5503208408292</v>
      </c>
      <c r="W154" s="99">
        <f ca="1">IF(S154&gt;1,IF(P154&gt;P153,MAX(AJ153-(Wfc-Wwp)*(P154-P153)*AJ153/S153,0),MAX(AJ153-(Wfc-Wwp)*(P154-P153)*AI153/R153,0)),0)</f>
        <v>1.06441199198e-7</v>
      </c>
      <c r="X154" s="99">
        <f ca="1">IF(AND(OR(AND(dec_vide_TAW&lt;0,V154&gt;R154*(p+0.04*(5-I153))),AND(dec_vide_TAW&gt;0,V154&gt;R154*dec_vide_TAW)),H154&gt;MAX(INDEX(H:H,Lig_min,1):INDEX(H:H,ROW(X154),1))*Kcbmax_stop_irrig*IF(ROW(X154)-lig_kcbmax&gt;0,1,0),MIN(INDEX(H:H,ROW(X154),1):INDEX(H:H,lig_kcbmax,1))&gt;Kcbmin_start_irrig),MIN(MAX(V154-E154*Irri_man-C154,0),Lame_max),0)</f>
        <v>0</v>
      </c>
      <c r="Y154" s="99">
        <f ca="1">MIN(MAX(T154-C154-IF(fw&gt;0,X154/fw*Irri_auto+E154/fw*Irri_man,0),0),TEW)</f>
        <v>2.54743829012338</v>
      </c>
      <c r="Z154" s="99">
        <f ca="1">MIN(MAX(U154-C154,0),TEW)</f>
        <v>1.26063042709645</v>
      </c>
      <c r="AA154" s="99">
        <f ca="1">MIN(MAX(V154-C154-(X154*Irri_auto+E154*Irri_man),0),R154)</f>
        <v>6.9663208408292</v>
      </c>
      <c r="AB154" s="99">
        <f ca="1">MIN(MAX(W154+MIN(V154-C154-(X154*Irri_auto+E154*Irri_man),0),0),S154)</f>
        <v>1.06441199198e-7</v>
      </c>
      <c r="AC154" s="99">
        <f ca="1">-MIN(W154+MIN(V154-C154-(X154*Irri_auto+E154*Irri_man),0),0)</f>
        <v>0</v>
      </c>
      <c r="AD154" s="39">
        <f ca="1">IF(((R154-AA154)/P154-((Wfc-Wwp)*Ze-Y154)/Ze)/Wfc*DiffE&lt;0,MAX(((R154-AA154)/P154-((Wfc-Wwp)*Ze-Y154)/Ze)/Wfc*DiffE,(R154*Ze-((Wfc-Wwp)*Ze-Y154-AA154)*P154)/(P154+Ze)-AA154),MIN(((R154-AA154)/P154-((Wfc-Wwp)*Ze-Y154)/Ze)/Wfc*DiffE,(R154*Ze-((Wfc-Wwp)*Ze-Y154-AA154)*P154)/(P154+Ze)-AA154))</f>
        <v>1.79515429257131e-8</v>
      </c>
      <c r="AE154" s="39">
        <f ca="1">IF(((R154-AA154)/P154-((Wfc-Wwp)*Ze-Z154)/Ze)/Wfc*DiffE&lt;0,MAX(((R154-AA154)/P154-((Wfc-Wwp)*Ze-Z154)/Ze)/Wfc*DiffE,(R154*Ze-((Wfc-Wwp)*Ze-Z154-AA154)*P154)/(P154+Ze)-AA154),MIN(((R154-AA154)/P154-((Wfc-Wwp)*Ze-Z154)/Ze)/Wfc*DiffE,(R154*Ze-((Wfc-Wwp)*Ze-Z154-AA154)*P154)/(P154+Ze)-AA154))</f>
        <v>-7.78461433482543e-9</v>
      </c>
      <c r="AF154" s="39">
        <f ca="1">IF(((S154-AB154)/Q154-(R154-AA154)/P154)/Wfc*DiffR&lt;0,MAX(((S154-AB154)/Q154-(R154-AA154)/P154)/Wfc*DiffR,(S154*P154-(R154-AA154-AB154)*Q154)/(P154+Q154)-AB154),MIN(((S154-AB154)/Q154-(R154-AA154)/P154)/Wfc*DiffR,(S154*P154-(R154-AA154-AB154)*Q154)/(P154+Q154)-AB154))</f>
        <v>3.29972197853573e-8</v>
      </c>
      <c r="AG154" s="99">
        <f ca="1">MIN(MAX(Y154+IF(AU154&gt;0,B154*AZ154/AU154,0)+BE154-AD154,0),TEW)</f>
        <v>3.21455335493221</v>
      </c>
      <c r="AH154" s="99">
        <f ca="1">MIN(MAX(Z154+IF(AV154&gt;0,B154*BA154/AV154,0)+BF154-AE154,0),TEW)</f>
        <v>1.77127809410222</v>
      </c>
      <c r="AI154" s="99">
        <f ca="1" t="shared" si="23"/>
        <v>8.12372456959165</v>
      </c>
      <c r="AJ154" s="99">
        <f ca="1" t="shared" si="24"/>
        <v>1.39438418983357e-7</v>
      </c>
      <c r="AK154" s="70">
        <f ca="1">IF((AU154+AV154)&gt;0,(TEW-(AG154*AU154+AH154*AV154)/(AU154+AV154))/TEW,(TEW-(AG154+AH154)/2)/TEW)</f>
        <v>0.902956879851103</v>
      </c>
      <c r="AL154" s="70">
        <f ca="1" t="shared" si="25"/>
        <v>0.881601623522443</v>
      </c>
      <c r="AM154" s="70">
        <f ca="1" t="shared" si="26"/>
        <v>0.999999987539252</v>
      </c>
      <c r="AN154" s="70">
        <f ca="1">Wwp+(Wfc-Wwp)*IF((AU154+AV154)&gt;0,(TEW-(AG154*AU154+AH154*AV154)/(AU154+AV154))/TEW,(TEW-(AG154+AH154)/2)/TEW)</f>
        <v>0.387384394380643</v>
      </c>
      <c r="AO154" s="70">
        <f ca="1">Wwp+(Wfc-Wwp)*(R154-AI154)/R154</f>
        <v>0.384608211057918</v>
      </c>
      <c r="AP154" s="70">
        <f ca="1">Wwp+(Wfc-Wwp)*(S154-AJ154)/S154</f>
        <v>0.399999998380103</v>
      </c>
      <c r="AQ154" s="70"/>
      <c r="AR154" s="70"/>
      <c r="AS154" s="70"/>
      <c r="AT154" s="70"/>
      <c r="AU154" s="70">
        <f ca="1">MIN((1-G154),fw)</f>
        <v>0.144</v>
      </c>
      <c r="AV154" s="70">
        <f ca="1" t="shared" si="27"/>
        <v>0</v>
      </c>
      <c r="AW154" s="70">
        <f ca="1">MIN((TEW-Y154)/(TEW-REW),1)</f>
        <v>0.117490023107392</v>
      </c>
      <c r="AX154" s="70">
        <f ca="1">MIN((TEW-Z154)/(TEW-REW),1)</f>
        <v>0.122434403139923</v>
      </c>
      <c r="AY154" s="70">
        <f ca="1">IF((AU154*(TEW-Y154))&gt;0,1/(1+((AV154*(TEW-Z154))/(AU154*(TEW-Y154)))),0)</f>
        <v>1</v>
      </c>
      <c r="AZ154" s="70">
        <f ca="1">MIN((AY154*AW154*(Kcmax-H154)),AU154*Kcmax)</f>
        <v>0.0217398718933815</v>
      </c>
      <c r="BA154" s="70">
        <f ca="1">MIN(((1-AY154)*AX154*(Kcmax-H154)),AV154*Kcmax)</f>
        <v>0</v>
      </c>
      <c r="BB154" s="70">
        <f ca="1" t="shared" si="28"/>
        <v>0.0255008697309365</v>
      </c>
      <c r="BC154" s="70">
        <f ca="1">MIN((R154-AA154)/(R154*(1-(p+0.04*(5-I153)))),1)</f>
        <v>1</v>
      </c>
      <c r="BD154" s="10">
        <f ca="1" t="shared" si="29"/>
        <v>1.13190289202874</v>
      </c>
      <c r="BE154" s="70">
        <f ca="1">MIN(IF((1-AA154/R154)&gt;0,(1-Y154/TEW)/(1-AA154/R154)*(Ze/P154)^0.6,0),1)*BC154*H154*B154</f>
        <v>0.490025709628873</v>
      </c>
      <c r="BF154" s="70">
        <f ca="1">MIN(IF((1-AA154/R154)&gt;0,(1-Z154/TEW)/(1-AA154/R154)*(Ze/P154)^0.6,0),1)*BC154*H154*B154</f>
        <v>0.510647659221149</v>
      </c>
      <c r="BH154" s="10">
        <f ca="1" t="shared" si="30"/>
        <v>0.00596679593274977</v>
      </c>
      <c r="BI154" s="10">
        <f ca="1">IF(F154&lt;&gt;"",(Moy_Etobs-F154)^2,"")</f>
        <v>0.140043431981027</v>
      </c>
    </row>
    <row r="155" spans="1:61">
      <c r="A155" s="38">
        <v>39148</v>
      </c>
      <c r="B155" s="10">
        <v>1.275</v>
      </c>
      <c r="C155" s="39">
        <v>9.504</v>
      </c>
      <c r="D155">
        <v>0.795</v>
      </c>
      <c r="E155" s="39">
        <v>0</v>
      </c>
      <c r="F155" s="10">
        <v>1.3896288</v>
      </c>
      <c r="G155" s="10">
        <f ca="1">MIN(MAX(IF(AND(Durpla&gt;ROW()-MATCH(NDVImax,INDEX(D:D,Lig_min,1):INDEX(D:D,Lig_max,1),0)-Lig_min+1,ROW()-MATCH(NDVImax,INDEX(D:D,Lig_min,1):INDEX(D:D,Lig_max,1),0)-Lig_min+1&gt;0,D155*a_fc+b_fc&gt;fc_fin),NDVImax*a_fc+b_fc,D155*a_fc+b_fc),0),1)</f>
        <v>0.86</v>
      </c>
      <c r="H155" s="55">
        <f>MIN(MAX(D155*a_kcb+b_kcb,0),Kcmax)</f>
        <v>0.969473280374541</v>
      </c>
      <c r="I155" s="70">
        <f ca="1" t="shared" si="22"/>
        <v>1.26537425528757</v>
      </c>
      <c r="O155" s="55"/>
      <c r="P155" s="35">
        <f ca="1">IF(ROW()-MATCH(NDVImax,INDEX(D:D,Lig_min,1):INDEX(D:D,Lig_max,1),0)-Lig_min+1&gt;0,MAX(MIN(Zr_min+MAX(INDEX(G:G,Lig_min,1):INDEX(G:G,Lig_max,1))/MAX(MAX(INDEX(G:G,Lig_min,1):INDEX(G:G,Lig_max,1)),Max_fc_pour_Zrmax)*(Zr_max-Zr_min),Zr_max),Ze+0.001),MAX(MIN(Zr_min+G155/MAX(MAX(INDEX(G:G,Lig_min,1):INDEX(G:G,Lig_max,1)),Max_fc_pour_Zrmax)*(Zr_max-Zr_min),Zr_max),Ze+0.001))</f>
        <v>529.678219933348</v>
      </c>
      <c r="Q155" s="35">
        <f ca="1">IF(Z_sol&gt;0,Z_sol-P155,0.1)</f>
        <v>84.1963311310856</v>
      </c>
      <c r="R155" s="35">
        <f ca="1">(Wfc-Wwp)*P155</f>
        <v>68.8581685913353</v>
      </c>
      <c r="S155" s="35">
        <f ca="1">(Wfc-Wwp)*Q155</f>
        <v>10.9455230470411</v>
      </c>
      <c r="T155" s="99">
        <f ca="1" t="shared" si="31"/>
        <v>3.21455335493221</v>
      </c>
      <c r="U155" s="99">
        <f ca="1" t="shared" si="32"/>
        <v>1.77127809410222</v>
      </c>
      <c r="V155" s="99">
        <f ca="1">IF(P155&gt;P154,IF(Q155&gt;1,MAX(AI154+(Wfc-Wwp)*(P155-P154)*AJ154/S154,0),AI154/P154*P155),MAX(AI154+(Wfc-Wwp)*(P155-P154)*AI154/R154,0))</f>
        <v>8.12372457264066</v>
      </c>
      <c r="W155" s="99">
        <f ca="1">IF(S155&gt;1,IF(P155&gt;P154,MAX(AJ154-(Wfc-Wwp)*(P155-P154)*AJ154/S154,0),MAX(AJ154-(Wfc-Wwp)*(P155-P154)*AI154/R154,0)),0)</f>
        <v>1.36389408967416e-7</v>
      </c>
      <c r="X155" s="99">
        <f ca="1">IF(AND(OR(AND(dec_vide_TAW&lt;0,V155&gt;R155*(p+0.04*(5-I154))),AND(dec_vide_TAW&gt;0,V155&gt;R155*dec_vide_TAW)),H155&gt;MAX(INDEX(H:H,Lig_min,1):INDEX(H:H,ROW(X155),1))*Kcbmax_stop_irrig*IF(ROW(X155)-lig_kcbmax&gt;0,1,0),MIN(INDEX(H:H,ROW(X155),1):INDEX(H:H,lig_kcbmax,1))&gt;Kcbmin_start_irrig),MIN(MAX(V155-E155*Irri_man-C155,0),Lame_max),0)</f>
        <v>0</v>
      </c>
      <c r="Y155" s="99">
        <f ca="1">MIN(MAX(T155-C155-IF(fw&gt;0,X155/fw*Irri_auto+E155/fw*Irri_man,0),0),TEW)</f>
        <v>0</v>
      </c>
      <c r="Z155" s="99">
        <f ca="1">MIN(MAX(U155-C155,0),TEW)</f>
        <v>0</v>
      </c>
      <c r="AA155" s="99">
        <f ca="1">MIN(MAX(V155-C155-(X155*Irri_auto+E155*Irri_man),0),R155)</f>
        <v>0</v>
      </c>
      <c r="AB155" s="99">
        <f ca="1">MIN(MAX(W155+MIN(V155-C155-(X155*Irri_auto+E155*Irri_man),0),0),S155)</f>
        <v>0</v>
      </c>
      <c r="AC155" s="99">
        <f ca="1">-MIN(W155+MIN(V155-C155-(X155*Irri_auto+E155*Irri_man),0),0)</f>
        <v>1.38027529096993</v>
      </c>
      <c r="AD155" s="39">
        <f ca="1">IF(((R155-AA155)/P155-((Wfc-Wwp)*Ze-Y155)/Ze)/Wfc*DiffE&lt;0,MAX(((R155-AA155)/P155-((Wfc-Wwp)*Ze-Y155)/Ze)/Wfc*DiffE,(R155*Ze-((Wfc-Wwp)*Ze-Y155-AA155)*P155)/(P155+Ze)-AA155),MIN(((R155-AA155)/P155-((Wfc-Wwp)*Ze-Y155)/Ze)/Wfc*DiffE,(R155*Ze-((Wfc-Wwp)*Ze-Y155-AA155)*P155)/(P155+Ze)-AA155))</f>
        <v>0</v>
      </c>
      <c r="AE155" s="39">
        <f ca="1">IF(((R155-AA155)/P155-((Wfc-Wwp)*Ze-Z155)/Ze)/Wfc*DiffE&lt;0,MAX(((R155-AA155)/P155-((Wfc-Wwp)*Ze-Z155)/Ze)/Wfc*DiffE,(R155*Ze-((Wfc-Wwp)*Ze-Z155-AA155)*P155)/(P155+Ze)-AA155),MIN(((R155-AA155)/P155-((Wfc-Wwp)*Ze-Z155)/Ze)/Wfc*DiffE,(R155*Ze-((Wfc-Wwp)*Ze-Z155-AA155)*P155)/(P155+Ze)-AA155))</f>
        <v>0</v>
      </c>
      <c r="AF155" s="39">
        <f ca="1">IF(((S155-AB155)/Q155-(R155-AA155)/P155)/Wfc*DiffR&lt;0,MAX(((S155-AB155)/Q155-(R155-AA155)/P155)/Wfc*DiffR,(S155*P155-(R155-AA155-AB155)*Q155)/(P155+Q155)-AB155),MIN(((S155-AB155)/Q155-(R155-AA155)/P155)/Wfc*DiffR,(S155*P155-(R155-AA155-AB155)*Q155)/(P155+Q155)-AB155))</f>
        <v>0</v>
      </c>
      <c r="AG155" s="99">
        <f ca="1">MIN(MAX(Y155+IF(AU155&gt;0,B155*AZ155/AU155,0)+BE155-AD155,0),TEW)</f>
        <v>0.728994232016341</v>
      </c>
      <c r="AH155" s="99">
        <f ca="1">MIN(MAX(Z155+IF(AV155&gt;0,B155*BA155/AV155,0)+BF155-AE155,0),TEW)</f>
        <v>0.51973835480183</v>
      </c>
      <c r="AI155" s="99">
        <f ca="1" t="shared" si="23"/>
        <v>1.26537425528757</v>
      </c>
      <c r="AJ155" s="99">
        <f ca="1" t="shared" si="24"/>
        <v>0</v>
      </c>
      <c r="AK155" s="70">
        <f ca="1">IF((AU155+AV155)&gt;0,(TEW-(AG155*AU155+AH155*AV155)/(AU155+AV155))/TEW,(TEW-(AG155+AH155)/2)/TEW)</f>
        <v>0.977992626957997</v>
      </c>
      <c r="AL155" s="70">
        <f ca="1" t="shared" si="25"/>
        <v>0.981623469209624</v>
      </c>
      <c r="AM155" s="70">
        <f ca="1" t="shared" si="26"/>
        <v>1</v>
      </c>
      <c r="AN155" s="70">
        <f ca="1">Wwp+(Wfc-Wwp)*IF((AU155+AV155)&gt;0,(TEW-(AG155*AU155+AH155*AV155)/(AU155+AV155))/TEW,(TEW-(AG155+AH155)/2)/TEW)</f>
        <v>0.39713904150454</v>
      </c>
      <c r="AO155" s="70">
        <f ca="1">Wwp+(Wfc-Wwp)*(R155-AI155)/R155</f>
        <v>0.397611050997251</v>
      </c>
      <c r="AP155" s="70">
        <f ca="1">Wwp+(Wfc-Wwp)*(S155-AJ155)/S155</f>
        <v>0.4</v>
      </c>
      <c r="AQ155" s="70"/>
      <c r="AR155" s="70"/>
      <c r="AS155" s="70"/>
      <c r="AT155" s="70"/>
      <c r="AU155" s="70">
        <f ca="1">MIN((1-G155),fw)</f>
        <v>0.14</v>
      </c>
      <c r="AV155" s="70">
        <f ca="1" t="shared" si="27"/>
        <v>0</v>
      </c>
      <c r="AW155" s="70">
        <f ca="1">MIN((TEW-Y155)/(TEW-REW),1)</f>
        <v>0.12727820001996</v>
      </c>
      <c r="AX155" s="70">
        <f ca="1">MIN((TEW-Z155)/(TEW-REW),1)</f>
        <v>0.12727820001996</v>
      </c>
      <c r="AY155" s="70">
        <f ca="1">IF((AU155*(TEW-Y155))&gt;0,1/(1+((AV155*(TEW-Z155))/(AU155*(TEW-Y155)))),0)</f>
        <v>1</v>
      </c>
      <c r="AZ155" s="70">
        <f ca="1">MIN((AY155*AW155*(Kcmax-H155)),AU155*Kcmax)</f>
        <v>0.0229771159294364</v>
      </c>
      <c r="BA155" s="70">
        <f ca="1">MIN(((1-AY155)*AX155*(Kcmax-H155)),AV155*Kcmax)</f>
        <v>0</v>
      </c>
      <c r="BB155" s="70">
        <f ca="1" t="shared" si="28"/>
        <v>0.0292958228100314</v>
      </c>
      <c r="BC155" s="70">
        <f ca="1">MIN((R155-AA155)/(R155*(1-(p+0.04*(5-I154)))),1)</f>
        <v>1</v>
      </c>
      <c r="BD155" s="10">
        <f ca="1" t="shared" si="29"/>
        <v>1.23607843247754</v>
      </c>
      <c r="BE155" s="70">
        <f ca="1">MIN(IF((1-AA155/R155)&gt;0,(1-Y155/TEW)/(1-AA155/R155)*(Ze/P155)^0.6,0),1)*BC155*H155*B155</f>
        <v>0.51973835480183</v>
      </c>
      <c r="BF155" s="70">
        <f ca="1">MIN(IF((1-AA155/R155)&gt;0,(1-Z155/TEW)/(1-AA155/R155)*(Ze/P155)^0.6,0),1)*BC155*H155*B155</f>
        <v>0.51973835480183</v>
      </c>
      <c r="BH155" s="10">
        <f ca="1" t="shared" si="30"/>
        <v>0.0154391918816929</v>
      </c>
      <c r="BI155" s="10">
        <f ca="1">IF(F155&lt;&gt;"",(Moy_Etobs-F155)^2,"")</f>
        <v>0.0480678318250816</v>
      </c>
    </row>
    <row r="156" spans="1:61">
      <c r="A156" s="38">
        <v>39149</v>
      </c>
      <c r="B156" s="10">
        <v>1.713</v>
      </c>
      <c r="C156" s="39">
        <v>1.584</v>
      </c>
      <c r="D156">
        <v>0.798</v>
      </c>
      <c r="E156" s="39">
        <v>0</v>
      </c>
      <c r="F156" s="10">
        <v>1.9416384</v>
      </c>
      <c r="G156" s="10">
        <f ca="1">MIN(MAX(IF(AND(Durpla&gt;ROW()-MATCH(NDVImax,INDEX(D:D,Lig_min,1):INDEX(D:D,Lig_max,1),0)-Lig_min+1,ROW()-MATCH(NDVImax,INDEX(D:D,Lig_min,1):INDEX(D:D,Lig_max,1),0)-Lig_min+1&gt;0,D156*a_fc+b_fc&gt;fc_fin),NDVImax*a_fc+b_fc,D156*a_fc+b_fc),0),1)</f>
        <v>0.864</v>
      </c>
      <c r="H156" s="55">
        <f>MIN(MAX(D156*a_kcb+b_kcb,0),Kcmax)</f>
        <v>0.973982458422795</v>
      </c>
      <c r="I156" s="70">
        <f ca="1" t="shared" si="22"/>
        <v>1.70680862579308</v>
      </c>
      <c r="O156" s="55"/>
      <c r="P156" s="35">
        <f ca="1">IF(ROW()-MATCH(NDVImax,INDEX(D:D,Lig_min,1):INDEX(D:D,Lig_max,1),0)-Lig_min+1&gt;0,MAX(MIN(Zr_min+MAX(INDEX(G:G,Lig_min,1):INDEX(G:G,Lig_max,1))/MAX(MAX(INDEX(G:G,Lig_min,1):INDEX(G:G,Lig_max,1)),Max_fc_pour_Zrmax)*(Zr_max-Zr_min),Zr_max),Ze+0.001),MAX(MIN(Zr_min+G156/MAX(MAX(INDEX(G:G,Lig_min,1):INDEX(G:G,Lig_max,1)),Max_fc_pour_Zrmax)*(Zr_max-Zr_min),Zr_max),Ze+0.001))</f>
        <v>531.560444212108</v>
      </c>
      <c r="Q156" s="35">
        <f ca="1">IF(Z_sol&gt;0,Z_sol-P156,0.1)</f>
        <v>82.3141068523258</v>
      </c>
      <c r="R156" s="35">
        <f ca="1">(Wfc-Wwp)*P156</f>
        <v>69.1028577475741</v>
      </c>
      <c r="S156" s="35">
        <f ca="1">(Wfc-Wwp)*Q156</f>
        <v>10.7008338908024</v>
      </c>
      <c r="T156" s="99">
        <f ca="1" t="shared" si="31"/>
        <v>0.728994232016341</v>
      </c>
      <c r="U156" s="99">
        <f ca="1" t="shared" si="32"/>
        <v>0.51973835480183</v>
      </c>
      <c r="V156" s="99">
        <f ca="1">IF(P156&gt;P155,IF(Q156&gt;1,MAX(AI155+(Wfc-Wwp)*(P156-P155)*AJ155/S155,0),AI155/P155*P156),MAX(AI155+(Wfc-Wwp)*(P156-P155)*AI155/R155,0))</f>
        <v>1.26537425528757</v>
      </c>
      <c r="W156" s="99">
        <f ca="1">IF(S156&gt;1,IF(P156&gt;P155,MAX(AJ155-(Wfc-Wwp)*(P156-P155)*AJ155/S155,0),MAX(AJ155-(Wfc-Wwp)*(P156-P155)*AI155/R155,0)),0)</f>
        <v>0</v>
      </c>
      <c r="X156" s="99">
        <f ca="1">IF(AND(OR(AND(dec_vide_TAW&lt;0,V156&gt;R156*(p+0.04*(5-I155))),AND(dec_vide_TAW&gt;0,V156&gt;R156*dec_vide_TAW)),H156&gt;MAX(INDEX(H:H,Lig_min,1):INDEX(H:H,ROW(X156),1))*Kcbmax_stop_irrig*IF(ROW(X156)-lig_kcbmax&gt;0,1,0),MIN(INDEX(H:H,ROW(X156),1):INDEX(H:H,lig_kcbmax,1))&gt;Kcbmin_start_irrig),MIN(MAX(V156-E156*Irri_man-C156,0),Lame_max),0)</f>
        <v>0</v>
      </c>
      <c r="Y156" s="99">
        <f ca="1">MIN(MAX(T156-C156-IF(fw&gt;0,X156/fw*Irri_auto+E156/fw*Irri_man,0),0),TEW)</f>
        <v>0</v>
      </c>
      <c r="Z156" s="99">
        <f ca="1">MIN(MAX(U156-C156,0),TEW)</f>
        <v>0</v>
      </c>
      <c r="AA156" s="99">
        <f ca="1">MIN(MAX(V156-C156-(X156*Irri_auto+E156*Irri_man),0),R156)</f>
        <v>0</v>
      </c>
      <c r="AB156" s="99">
        <f ca="1">MIN(MAX(W156+MIN(V156-C156-(X156*Irri_auto+E156*Irri_man),0),0),S156)</f>
        <v>0</v>
      </c>
      <c r="AC156" s="99">
        <f ca="1">-MIN(W156+MIN(V156-C156-(X156*Irri_auto+E156*Irri_man),0),0)</f>
        <v>0.318625744712429</v>
      </c>
      <c r="AD156" s="39">
        <f ca="1">IF(((R156-AA156)/P156-((Wfc-Wwp)*Ze-Y156)/Ze)/Wfc*DiffE&lt;0,MAX(((R156-AA156)/P156-((Wfc-Wwp)*Ze-Y156)/Ze)/Wfc*DiffE,(R156*Ze-((Wfc-Wwp)*Ze-Y156-AA156)*P156)/(P156+Ze)-AA156),MIN(((R156-AA156)/P156-((Wfc-Wwp)*Ze-Y156)/Ze)/Wfc*DiffE,(R156*Ze-((Wfc-Wwp)*Ze-Y156-AA156)*P156)/(P156+Ze)-AA156))</f>
        <v>0</v>
      </c>
      <c r="AE156" s="39">
        <f ca="1">IF(((R156-AA156)/P156-((Wfc-Wwp)*Ze-Z156)/Ze)/Wfc*DiffE&lt;0,MAX(((R156-AA156)/P156-((Wfc-Wwp)*Ze-Z156)/Ze)/Wfc*DiffE,(R156*Ze-((Wfc-Wwp)*Ze-Z156-AA156)*P156)/(P156+Ze)-AA156),MIN(((R156-AA156)/P156-((Wfc-Wwp)*Ze-Z156)/Ze)/Wfc*DiffE,(R156*Ze-((Wfc-Wwp)*Ze-Z156-AA156)*P156)/(P156+Ze)-AA156))</f>
        <v>0</v>
      </c>
      <c r="AF156" s="39">
        <f ca="1">IF(((S156-AB156)/Q156-(R156-AA156)/P156)/Wfc*DiffR&lt;0,MAX(((S156-AB156)/Q156-(R156-AA156)/P156)/Wfc*DiffR,(S156*P156-(R156-AA156-AB156)*Q156)/(P156+Q156)-AB156),MIN(((S156-AB156)/Q156-(R156-AA156)/P156)/Wfc*DiffR,(S156*P156-(R156-AA156-AB156)*Q156)/(P156+Q156)-AB156))</f>
        <v>0</v>
      </c>
      <c r="AG156" s="99">
        <f ca="1">MIN(MAX(Y156+IF(AU156&gt;0,B156*AZ156/AU156,0)+BE156-AD156,0),TEW)</f>
        <v>0.982221521274882</v>
      </c>
      <c r="AH156" s="99">
        <f ca="1">MIN(MAX(Z156+IF(AV156&gt;0,B156*BA156/AV156,0)+BF156-AE156,0),TEW)</f>
        <v>0.70004009101874</v>
      </c>
      <c r="AI156" s="99">
        <f ca="1" t="shared" si="23"/>
        <v>1.70680862579308</v>
      </c>
      <c r="AJ156" s="99">
        <f ca="1" t="shared" si="24"/>
        <v>0</v>
      </c>
      <c r="AK156" s="70">
        <f ca="1">IF((AU156+AV156)&gt;0,(TEW-(AG156*AU156+AH156*AV156)/(AU156+AV156))/TEW,(TEW-(AG156+AH156)/2)/TEW)</f>
        <v>0.970348029546419</v>
      </c>
      <c r="AL156" s="70">
        <f ca="1" t="shared" si="25"/>
        <v>0.97530046250724</v>
      </c>
      <c r="AM156" s="70">
        <f ca="1" t="shared" si="26"/>
        <v>1</v>
      </c>
      <c r="AN156" s="70">
        <f ca="1">Wwp+(Wfc-Wwp)*IF((AU156+AV156)&gt;0,(TEW-(AG156*AU156+AH156*AV156)/(AU156+AV156))/TEW,(TEW-(AG156+AH156)/2)/TEW)</f>
        <v>0.396145243841034</v>
      </c>
      <c r="AO156" s="70">
        <f ca="1">Wwp+(Wfc-Wwp)*(R156-AI156)/R156</f>
        <v>0.396789060125941</v>
      </c>
      <c r="AP156" s="70">
        <f ca="1">Wwp+(Wfc-Wwp)*(S156-AJ156)/S156</f>
        <v>0.4</v>
      </c>
      <c r="AQ156" s="70"/>
      <c r="AR156" s="70"/>
      <c r="AS156" s="70"/>
      <c r="AT156" s="70"/>
      <c r="AU156" s="70">
        <f ca="1">MIN((1-G156),fw)</f>
        <v>0.136</v>
      </c>
      <c r="AV156" s="70">
        <f ca="1" t="shared" si="27"/>
        <v>0</v>
      </c>
      <c r="AW156" s="70">
        <f ca="1">MIN((TEW-Y156)/(TEW-REW),1)</f>
        <v>0.12727820001996</v>
      </c>
      <c r="AX156" s="70">
        <f ca="1">MIN((TEW-Z156)/(TEW-REW),1)</f>
        <v>0.12727820001996</v>
      </c>
      <c r="AY156" s="70">
        <f ca="1">IF((AU156*(TEW-Y156))&gt;0,1/(1+((AV156*(TEW-Z156))/(AU156*(TEW-Y156)))),0)</f>
        <v>1</v>
      </c>
      <c r="AZ156" s="70">
        <f ca="1">MIN((AY156*AW156*(Kcmax-H156)),AU156*Kcmax)</f>
        <v>0.0224031958638852</v>
      </c>
      <c r="BA156" s="70">
        <f ca="1">MIN(((1-AY156)*AX156*(Kcmax-H156)),AV156*Kcmax)</f>
        <v>0</v>
      </c>
      <c r="BB156" s="70">
        <f ca="1" t="shared" si="28"/>
        <v>0.0383766745148353</v>
      </c>
      <c r="BC156" s="70">
        <f ca="1">MIN((R156-AA156)/(R156*(1-(p+0.04*(5-I155)))),1)</f>
        <v>1</v>
      </c>
      <c r="BD156" s="10">
        <f ca="1" t="shared" si="29"/>
        <v>1.66843195127825</v>
      </c>
      <c r="BE156" s="70">
        <f ca="1">MIN(IF((1-AA156/R156)&gt;0,(1-Y156/TEW)/(1-AA156/R156)*(Ze/P156)^0.6,0),1)*BC156*H156*B156</f>
        <v>0.70004009101874</v>
      </c>
      <c r="BF156" s="70">
        <f ca="1">MIN(IF((1-AA156/R156)&gt;0,(1-Z156/TEW)/(1-AA156/R156)*(Ze/P156)^0.6,0),1)*BC156*H156*B156</f>
        <v>0.70004009101874</v>
      </c>
      <c r="BH156" s="10">
        <f ca="1" t="shared" si="30"/>
        <v>0.0551450228540716</v>
      </c>
      <c r="BI156" s="10">
        <f ca="1">IF(F156&lt;&gt;"",(Moy_Etobs-F156)^2,"")</f>
        <v>0.110733095883383</v>
      </c>
    </row>
    <row r="157" spans="1:61">
      <c r="A157" s="38">
        <v>39150</v>
      </c>
      <c r="B157" s="10">
        <v>1.367</v>
      </c>
      <c r="C157" s="39">
        <v>0</v>
      </c>
      <c r="D157">
        <v>0.801</v>
      </c>
      <c r="E157" s="39">
        <v>0</v>
      </c>
      <c r="F157" s="10">
        <v>1.536255</v>
      </c>
      <c r="G157" s="10">
        <f ca="1">MIN(MAX(IF(AND(Durpla&gt;ROW()-MATCH(NDVImax,INDEX(D:D,Lig_min,1):INDEX(D:D,Lig_max,1),0)-Lig_min+1,ROW()-MATCH(NDVImax,INDEX(D:D,Lig_min,1):INDEX(D:D,Lig_max,1),0)-Lig_min+1&gt;0,D157*a_fc+b_fc&gt;fc_fin),NDVImax*a_fc+b_fc,D157*a_fc+b_fc),0),1)</f>
        <v>0.868</v>
      </c>
      <c r="H157" s="55">
        <f>MIN(MAX(D157*a_kcb+b_kcb,0),Kcmax)</f>
        <v>0.978491636471049</v>
      </c>
      <c r="I157" s="70">
        <f ca="1" t="shared" si="22"/>
        <v>1.36655385388921</v>
      </c>
      <c r="O157" s="55"/>
      <c r="P157" s="35">
        <f ca="1">IF(ROW()-MATCH(NDVImax,INDEX(D:D,Lig_min,1):INDEX(D:D,Lig_max,1),0)-Lig_min+1&gt;0,MAX(MIN(Zr_min+MAX(INDEX(G:G,Lig_min,1):INDEX(G:G,Lig_max,1))/MAX(MAX(INDEX(G:G,Lig_min,1):INDEX(G:G,Lig_max,1)),Max_fc_pour_Zrmax)*(Zr_max-Zr_min),Zr_max),Ze+0.001),MAX(MIN(Zr_min+G157/MAX(MAX(INDEX(G:G,Lig_min,1):INDEX(G:G,Lig_max,1)),Max_fc_pour_Zrmax)*(Zr_max-Zr_min),Zr_max),Ze+0.001))</f>
        <v>533.442668490868</v>
      </c>
      <c r="Q157" s="35">
        <f ca="1">IF(Z_sol&gt;0,Z_sol-P157,0.1)</f>
        <v>80.431882573566</v>
      </c>
      <c r="R157" s="35">
        <f ca="1">(Wfc-Wwp)*P157</f>
        <v>69.3475469038129</v>
      </c>
      <c r="S157" s="35">
        <f ca="1">(Wfc-Wwp)*Q157</f>
        <v>10.4561447345636</v>
      </c>
      <c r="T157" s="99">
        <f ca="1" t="shared" si="31"/>
        <v>0.982221521274882</v>
      </c>
      <c r="U157" s="99">
        <f ca="1" t="shared" si="32"/>
        <v>0.70004009101874</v>
      </c>
      <c r="V157" s="99">
        <f ca="1">IF(P157&gt;P156,IF(Q157&gt;1,MAX(AI156+(Wfc-Wwp)*(P157-P156)*AJ156/S156,0),AI156/P156*P157),MAX(AI156+(Wfc-Wwp)*(P157-P156)*AI156/R156,0))</f>
        <v>1.70680862579308</v>
      </c>
      <c r="W157" s="99">
        <f ca="1">IF(S157&gt;1,IF(P157&gt;P156,MAX(AJ156-(Wfc-Wwp)*(P157-P156)*AJ156/S156,0),MAX(AJ156-(Wfc-Wwp)*(P157-P156)*AI156/R156,0)),0)</f>
        <v>0</v>
      </c>
      <c r="X157" s="99">
        <f ca="1">IF(AND(OR(AND(dec_vide_TAW&lt;0,V157&gt;R157*(p+0.04*(5-I156))),AND(dec_vide_TAW&gt;0,V157&gt;R157*dec_vide_TAW)),H157&gt;MAX(INDEX(H:H,Lig_min,1):INDEX(H:H,ROW(X157),1))*Kcbmax_stop_irrig*IF(ROW(X157)-lig_kcbmax&gt;0,1,0),MIN(INDEX(H:H,ROW(X157),1):INDEX(H:H,lig_kcbmax,1))&gt;Kcbmin_start_irrig),MIN(MAX(V157-E157*Irri_man-C157,0),Lame_max),0)</f>
        <v>0</v>
      </c>
      <c r="Y157" s="99">
        <f ca="1">MIN(MAX(T157-C157-IF(fw&gt;0,X157/fw*Irri_auto+E157/fw*Irri_man,0),0),TEW)</f>
        <v>0.982221521274882</v>
      </c>
      <c r="Z157" s="99">
        <f ca="1">MIN(MAX(U157-C157,0),TEW)</f>
        <v>0.70004009101874</v>
      </c>
      <c r="AA157" s="99">
        <f ca="1">MIN(MAX(V157-C157-(X157*Irri_auto+E157*Irri_man),0),R157)</f>
        <v>1.70680862579308</v>
      </c>
      <c r="AB157" s="99">
        <f ca="1">MIN(MAX(W157+MIN(V157-C157-(X157*Irri_auto+E157*Irri_man),0),0),S157)</f>
        <v>0</v>
      </c>
      <c r="AC157" s="99">
        <f ca="1">-MIN(W157+MIN(V157-C157-(X157*Irri_auto+E157*Irri_man),0),0)</f>
        <v>0</v>
      </c>
      <c r="AD157" s="39">
        <f ca="1">IF(((R157-AA157)/P157-((Wfc-Wwp)*Ze-Y157)/Ze)/Wfc*DiffE&lt;0,MAX(((R157-AA157)/P157-((Wfc-Wwp)*Ze-Y157)/Ze)/Wfc*DiffE,(R157*Ze-((Wfc-Wwp)*Ze-Y157-AA157)*P157)/(P157+Ze)-AA157),MIN(((R157-AA157)/P157-((Wfc-Wwp)*Ze-Y157)/Ze)/Wfc*DiffE,(R157*Ze-((Wfc-Wwp)*Ze-Y157-AA157)*P157)/(P157+Ze)-AA157))</f>
        <v>1.16454048197014e-8</v>
      </c>
      <c r="AE157" s="39">
        <f ca="1">IF(((R157-AA157)/P157-((Wfc-Wwp)*Ze-Z157)/Ze)/Wfc*DiffE&lt;0,MAX(((R157-AA157)/P157-((Wfc-Wwp)*Ze-Z157)/Ze)/Wfc*DiffE,(R157*Ze-((Wfc-Wwp)*Ze-Z157-AA157)*P157)/(P157+Ze)-AA157),MIN(((R157-AA157)/P157-((Wfc-Wwp)*Ze-Z157)/Ze)/Wfc*DiffE,(R157*Ze-((Wfc-Wwp)*Ze-Z157-AA157)*P157)/(P157+Ze)-AA157))</f>
        <v>6.00177621457858e-9</v>
      </c>
      <c r="AF157" s="39">
        <f ca="1">IF(((S157-AB157)/Q157-(R157-AA157)/P157)/Wfc*DiffR&lt;0,MAX(((S157-AB157)/Q157-(R157-AA157)/P157)/Wfc*DiffR,(S157*P157-(R157-AA157-AB157)*Q157)/(P157+Q157)-AB157),MIN(((S157-AB157)/Q157-(R157-AA157)/P157)/Wfc*DiffR,(S157*P157-(R157-AA157-AB157)*Q157)/(P157+Q157)-AB157))</f>
        <v>7.99902560579623e-9</v>
      </c>
      <c r="AG157" s="99">
        <f ca="1">MIN(MAX(Y157+IF(AU157&gt;0,B157*AZ157/AU157,0)+BE157-AD157,0),TEW)</f>
        <v>1.75872987125518</v>
      </c>
      <c r="AH157" s="99">
        <f ca="1">MIN(MAX(Z157+IF(AV157&gt;0,B157*BA157/AV157,0)+BF157-AE157,0),TEW)</f>
        <v>1.2620776125172</v>
      </c>
      <c r="AI157" s="99">
        <f ca="1" t="shared" si="23"/>
        <v>3.07336247168326</v>
      </c>
      <c r="AJ157" s="99">
        <f ca="1" t="shared" si="24"/>
        <v>7.99902560579623e-9</v>
      </c>
      <c r="AK157" s="70">
        <f ca="1">IF((AU157+AV157)&gt;0,(TEW-(AG157*AU157+AH157*AV157)/(AU157+AV157))/TEW,(TEW-(AG157+AH157)/2)/TEW)</f>
        <v>0.94690626803758</v>
      </c>
      <c r="AL157" s="70">
        <f ca="1" t="shared" si="25"/>
        <v>0.955681742052879</v>
      </c>
      <c r="AM157" s="70">
        <f ca="1" t="shared" si="26"/>
        <v>0.999999999234993</v>
      </c>
      <c r="AN157" s="70">
        <f ca="1">Wwp+(Wfc-Wwp)*IF((AU157+AV157)&gt;0,(TEW-(AG157*AU157+AH157*AV157)/(AU157+AV157))/TEW,(TEW-(AG157+AH157)/2)/TEW)</f>
        <v>0.393097814844885</v>
      </c>
      <c r="AO157" s="70">
        <f ca="1">Wwp+(Wfc-Wwp)*(R157-AI157)/R157</f>
        <v>0.394238626466874</v>
      </c>
      <c r="AP157" s="70">
        <f ca="1">Wwp+(Wfc-Wwp)*(S157-AJ157)/S157</f>
        <v>0.399999999900549</v>
      </c>
      <c r="AQ157" s="70"/>
      <c r="AR157" s="70"/>
      <c r="AS157" s="70"/>
      <c r="AT157" s="70"/>
      <c r="AU157" s="70">
        <f ca="1">MIN((1-G157),fw)</f>
        <v>0.132</v>
      </c>
      <c r="AV157" s="70">
        <f ca="1" t="shared" si="27"/>
        <v>0</v>
      </c>
      <c r="AW157" s="70">
        <f ca="1">MIN((TEW-Y157)/(TEW-REW),1)</f>
        <v>0.123504150593583</v>
      </c>
      <c r="AX157" s="70">
        <f ca="1">MIN((TEW-Z157)/(TEW-REW),1)</f>
        <v>0.12458839344708</v>
      </c>
      <c r="AY157" s="70">
        <f ca="1">IF((AU157*(TEW-Y157))&gt;0,1/(1+((AV157*(TEW-Z157))/(AU157*(TEW-Y157)))),0)</f>
        <v>1</v>
      </c>
      <c r="AZ157" s="70">
        <f ca="1">MIN((AY157*AW157*(Kcmax-H157)),AU157*Kcmax)</f>
        <v>0.0211819947573387</v>
      </c>
      <c r="BA157" s="70">
        <f ca="1">MIN(((1-AY157)*AX157*(Kcmax-H157)),AV157*Kcmax)</f>
        <v>0</v>
      </c>
      <c r="BB157" s="70">
        <f ca="1" t="shared" si="28"/>
        <v>0.0289557868332819</v>
      </c>
      <c r="BC157" s="70">
        <f ca="1">MIN((R157-AA157)/(R157*(1-(p+0.04*(5-I156)))),1)</f>
        <v>1</v>
      </c>
      <c r="BD157" s="10">
        <f ca="1" t="shared" si="29"/>
        <v>1.33759806705592</v>
      </c>
      <c r="BE157" s="70">
        <f ca="1">MIN(IF((1-AA157/R157)&gt;0,(1-Y157/TEW)/(1-AA157/R157)*(Ze/P157)^0.6,0),1)*BC157*H157*B157</f>
        <v>0.557146340161442</v>
      </c>
      <c r="BF157" s="70">
        <f ca="1">MIN(IF((1-AA157/R157)&gt;0,(1-Z157/TEW)/(1-AA157/R157)*(Ze/P157)^0.6,0),1)*BC157*H157*B157</f>
        <v>0.562037527500234</v>
      </c>
      <c r="BH157" s="10">
        <f ca="1" t="shared" si="30"/>
        <v>0.0287984789913172</v>
      </c>
      <c r="BI157" s="10">
        <f ca="1">IF(F157&lt;&gt;"",(Moy_Etobs-F157)^2,"")</f>
        <v>0.00527331185071412</v>
      </c>
    </row>
    <row r="158" spans="1:61">
      <c r="A158" s="38">
        <v>39151</v>
      </c>
      <c r="B158" s="10">
        <v>2.14</v>
      </c>
      <c r="C158" s="39">
        <v>0</v>
      </c>
      <c r="D158">
        <v>0.804</v>
      </c>
      <c r="E158" s="39">
        <v>0</v>
      </c>
      <c r="F158" s="10">
        <v>2.47842</v>
      </c>
      <c r="G158" s="10">
        <f ca="1">MIN(MAX(IF(AND(Durpla&gt;ROW()-MATCH(NDVImax,INDEX(D:D,Lig_min,1):INDEX(D:D,Lig_max,1),0)-Lig_min+1,ROW()-MATCH(NDVImax,INDEX(D:D,Lig_min,1):INDEX(D:D,Lig_max,1),0)-Lig_min+1&gt;0,D158*a_fc+b_fc&gt;fc_fin),NDVImax*a_fc+b_fc,D158*a_fc+b_fc),0),1)</f>
        <v>0.872</v>
      </c>
      <c r="H158" s="55">
        <f>MIN(MAX(D158*a_kcb+b_kcb,0),Kcmax)</f>
        <v>0.983000814519302</v>
      </c>
      <c r="I158" s="70">
        <f ca="1" t="shared" si="22"/>
        <v>2.14669315835697</v>
      </c>
      <c r="O158" s="55"/>
      <c r="P158" s="35">
        <f ca="1">IF(ROW()-MATCH(NDVImax,INDEX(D:D,Lig_min,1):INDEX(D:D,Lig_max,1),0)-Lig_min+1&gt;0,MAX(MIN(Zr_min+MAX(INDEX(G:G,Lig_min,1):INDEX(G:G,Lig_max,1))/MAX(MAX(INDEX(G:G,Lig_min,1):INDEX(G:G,Lig_max,1)),Max_fc_pour_Zrmax)*(Zr_max-Zr_min),Zr_max),Ze+0.001),MAX(MIN(Zr_min+G158/MAX(MAX(INDEX(G:G,Lig_min,1):INDEX(G:G,Lig_max,1)),Max_fc_pour_Zrmax)*(Zr_max-Zr_min),Zr_max),Ze+0.001))</f>
        <v>535.324892769628</v>
      </c>
      <c r="Q158" s="35">
        <f ca="1">IF(Z_sol&gt;0,Z_sol-P158,0.1)</f>
        <v>78.5496582948064</v>
      </c>
      <c r="R158" s="35">
        <f ca="1">(Wfc-Wwp)*P158</f>
        <v>69.5922360600516</v>
      </c>
      <c r="S158" s="35">
        <f ca="1">(Wfc-Wwp)*Q158</f>
        <v>10.2114555783248</v>
      </c>
      <c r="T158" s="99">
        <f ca="1" t="shared" si="31"/>
        <v>1.75872987125518</v>
      </c>
      <c r="U158" s="99">
        <f ca="1" t="shared" si="32"/>
        <v>1.2620776125172</v>
      </c>
      <c r="V158" s="99">
        <f ca="1">IF(P158&gt;P157,IF(Q158&gt;1,MAX(AI157+(Wfc-Wwp)*(P158-P157)*AJ157/S157,0),AI157/P157*P158),MAX(AI157+(Wfc-Wwp)*(P158-P157)*AI157/R157,0))</f>
        <v>3.07336247187045</v>
      </c>
      <c r="W158" s="99">
        <f ca="1">IF(S158&gt;1,IF(P158&gt;P157,MAX(AJ157-(Wfc-Wwp)*(P158-P157)*AJ157/S157,0),MAX(AJ157-(Wfc-Wwp)*(P158-P157)*AI157/R157,0)),0)</f>
        <v>7.8118366488813e-9</v>
      </c>
      <c r="X158" s="99">
        <f ca="1">IF(AND(OR(AND(dec_vide_TAW&lt;0,V158&gt;R158*(p+0.04*(5-I157))),AND(dec_vide_TAW&gt;0,V158&gt;R158*dec_vide_TAW)),H158&gt;MAX(INDEX(H:H,Lig_min,1):INDEX(H:H,ROW(X158),1))*Kcbmax_stop_irrig*IF(ROW(X158)-lig_kcbmax&gt;0,1,0),MIN(INDEX(H:H,ROW(X158),1):INDEX(H:H,lig_kcbmax,1))&gt;Kcbmin_start_irrig),MIN(MAX(V158-E158*Irri_man-C158,0),Lame_max),0)</f>
        <v>0</v>
      </c>
      <c r="Y158" s="99">
        <f ca="1">MIN(MAX(T158-C158-IF(fw&gt;0,X158/fw*Irri_auto+E158/fw*Irri_man,0),0),TEW)</f>
        <v>1.75872987125518</v>
      </c>
      <c r="Z158" s="99">
        <f ca="1">MIN(MAX(U158-C158,0),TEW)</f>
        <v>1.2620776125172</v>
      </c>
      <c r="AA158" s="99">
        <f ca="1">MIN(MAX(V158-C158-(X158*Irri_auto+E158*Irri_man),0),R158)</f>
        <v>3.07336247187045</v>
      </c>
      <c r="AB158" s="99">
        <f ca="1">MIN(MAX(W158+MIN(V158-C158-(X158*Irri_auto+E158*Irri_man),0),0),S158)</f>
        <v>7.8118366488813e-9</v>
      </c>
      <c r="AC158" s="99">
        <f ca="1">-MIN(W158+MIN(V158-C158-(X158*Irri_auto+E158*Irri_man),0),0)</f>
        <v>0</v>
      </c>
      <c r="AD158" s="39">
        <f ca="1">IF(((R158-AA158)/P158-((Wfc-Wwp)*Ze-Y158)/Ze)/Wfc*DiffE&lt;0,MAX(((R158-AA158)/P158-((Wfc-Wwp)*Ze-Y158)/Ze)/Wfc*DiffE,(R158*Ze-((Wfc-Wwp)*Ze-Y158-AA158)*P158)/(P158+Ze)-AA158),MIN(((R158-AA158)/P158-((Wfc-Wwp)*Ze-Y158)/Ze)/Wfc*DiffE,(R158*Ze-((Wfc-Wwp)*Ze-Y158-AA158)*P158)/(P158+Ze)-AA158))</f>
        <v>2.08218066555127e-8</v>
      </c>
      <c r="AE158" s="39">
        <f ca="1">IF(((R158-AA158)/P158-((Wfc-Wwp)*Ze-Z158)/Ze)/Wfc*DiffE&lt;0,MAX(((R158-AA158)/P158-((Wfc-Wwp)*Ze-Z158)/Ze)/Wfc*DiffE,(R158*Ze-((Wfc-Wwp)*Ze-Z158-AA158)*P158)/(P158+Ze)-AA158),MIN(((R158-AA158)/P158-((Wfc-Wwp)*Ze-Z158)/Ze)/Wfc*DiffE,(R158*Ze-((Wfc-Wwp)*Ze-Z158-AA158)*P158)/(P158+Ze)-AA158))</f>
        <v>1.08887614807531e-8</v>
      </c>
      <c r="AF158" s="39">
        <f ca="1">IF(((S158-AB158)/Q158-(R158-AA158)/P158)/Wfc*DiffR&lt;0,MAX(((S158-AB158)/Q158-(R158-AA158)/P158)/Wfc*DiffR,(S158*P158-(R158-AA158-AB158)*Q158)/(P158+Q158)-AB158),MIN(((S158-AB158)/Q158-(R158-AA158)/P158)/Wfc*DiffR,(S158*P158-(R158-AA158-AB158)*Q158)/(P158+Q158)-AB158))</f>
        <v>1.43527905209635e-8</v>
      </c>
      <c r="AG158" s="99">
        <f ca="1">MIN(MAX(Y158+IF(AU158&gt;0,B158*AZ158/AU158,0)+BE158-AD158,0),TEW)</f>
        <v>2.96592036473087</v>
      </c>
      <c r="AH158" s="99">
        <f ca="1">MIN(MAX(Z158+IF(AV158&gt;0,B158*BA158/AV158,0)+BF158-AE158,0),TEW)</f>
        <v>2.14655923489591</v>
      </c>
      <c r="AI158" s="99">
        <f ca="1" t="shared" si="23"/>
        <v>5.22005561587463</v>
      </c>
      <c r="AJ158" s="99">
        <f ca="1" t="shared" si="24"/>
        <v>2.21646271698448e-8</v>
      </c>
      <c r="AK158" s="70">
        <f ca="1">IF((AU158+AV158)&gt;0,(TEW-(AG158*AU158+AH158*AV158)/(AU158+AV158))/TEW,(TEW-(AG158+AH158)/2)/TEW)</f>
        <v>0.910462781442087</v>
      </c>
      <c r="AL158" s="70">
        <f ca="1" t="shared" si="25"/>
        <v>0.92499083358422</v>
      </c>
      <c r="AM158" s="70">
        <f ca="1" t="shared" si="26"/>
        <v>0.999999997829435</v>
      </c>
      <c r="AN158" s="70">
        <f ca="1">Wwp+(Wfc-Wwp)*IF((AU158+AV158)&gt;0,(TEW-(AG158*AU158+AH158*AV158)/(AU158+AV158))/TEW,(TEW-(AG158+AH158)/2)/TEW)</f>
        <v>0.388360161587471</v>
      </c>
      <c r="AO158" s="70">
        <f ca="1">Wwp+(Wfc-Wwp)*(R158-AI158)/R158</f>
        <v>0.390248808365949</v>
      </c>
      <c r="AP158" s="70">
        <f ca="1">Wwp+(Wfc-Wwp)*(S158-AJ158)/S158</f>
        <v>0.399999999717827</v>
      </c>
      <c r="AQ158" s="70"/>
      <c r="AR158" s="70"/>
      <c r="AS158" s="70"/>
      <c r="AT158" s="70"/>
      <c r="AU158" s="70">
        <f ca="1">MIN((1-G158),fw)</f>
        <v>0.128</v>
      </c>
      <c r="AV158" s="70">
        <f ca="1" t="shared" si="27"/>
        <v>0</v>
      </c>
      <c r="AW158" s="70">
        <f ca="1">MIN((TEW-Y158)/(TEW-REW),1)</f>
        <v>0.120520525383441</v>
      </c>
      <c r="AX158" s="70">
        <f ca="1">MIN((TEW-Z158)/(TEW-REW),1)</f>
        <v>0.122428842531457</v>
      </c>
      <c r="AY158" s="70">
        <f ca="1">IF((AU158*(TEW-Y158))&gt;0,1/(1+((AV158*(TEW-Z158))/(AU158*(TEW-Y158)))),0)</f>
        <v>1</v>
      </c>
      <c r="AZ158" s="70">
        <f ca="1">MIN((AY158*AW158*(Kcmax-H158)),AU158*Kcmax)</f>
        <v>0.0201268295727404</v>
      </c>
      <c r="BA158" s="70">
        <f ca="1">MIN(((1-AY158)*AX158*(Kcmax-H158)),AV158*Kcmax)</f>
        <v>0</v>
      </c>
      <c r="BB158" s="70">
        <f ca="1" t="shared" si="28"/>
        <v>0.0430714152856645</v>
      </c>
      <c r="BC158" s="70">
        <f ca="1">MIN((R158-AA158)/(R158*(1-(p+0.04*(5-I157)))),1)</f>
        <v>1</v>
      </c>
      <c r="BD158" s="10">
        <f ca="1" t="shared" si="29"/>
        <v>2.10362174307131</v>
      </c>
      <c r="BE158" s="70">
        <f ca="1">MIN(IF((1-AA158/R158)&gt;0,(1-Y158/TEW)/(1-AA158/R158)*(Ze/P158)^0.6,0),1)*BC158*H158*B158</f>
        <v>0.870695082378249</v>
      </c>
      <c r="BF158" s="70">
        <f ca="1">MIN(IF((1-AA158/R158)&gt;0,(1-Z158/TEW)/(1-AA158/R158)*(Ze/P158)^0.6,0),1)*BC158*H158*B158</f>
        <v>0.884481633267477</v>
      </c>
      <c r="BH158" s="10">
        <f ca="1" t="shared" si="30"/>
        <v>0.110042697466459</v>
      </c>
      <c r="BI158" s="10">
        <f ca="1">IF(F158&lt;&gt;"",(Moy_Etobs-F158)^2,"")</f>
        <v>0.756112728493194</v>
      </c>
    </row>
    <row r="159" spans="1:61">
      <c r="A159" s="38">
        <v>39152</v>
      </c>
      <c r="B159" s="10">
        <v>2.179</v>
      </c>
      <c r="C159" s="39">
        <v>0</v>
      </c>
      <c r="D159">
        <v>0.808</v>
      </c>
      <c r="E159" s="39">
        <v>0</v>
      </c>
      <c r="F159" s="10">
        <v>1.951497</v>
      </c>
      <c r="G159" s="10">
        <f ca="1">MIN(MAX(IF(AND(Durpla&gt;ROW()-MATCH(NDVImax,INDEX(D:D,Lig_min,1):INDEX(D:D,Lig_max,1),0)-Lig_min+1,ROW()-MATCH(NDVImax,INDEX(D:D,Lig_min,1):INDEX(D:D,Lig_max,1),0)-Lig_min+1&gt;0,D159*a_fc+b_fc&gt;fc_fin),NDVImax*a_fc+b_fc,D159*a_fc+b_fc),0),1)</f>
        <v>0.877333333333333</v>
      </c>
      <c r="H159" s="55">
        <f>MIN(MAX(D159*a_kcb+b_kcb,0),Kcmax)</f>
        <v>0.989013051916974</v>
      </c>
      <c r="I159" s="70">
        <f ca="1" t="shared" si="22"/>
        <v>2.19570977423937</v>
      </c>
      <c r="O159" s="55"/>
      <c r="P159" s="35">
        <f ca="1">IF(ROW()-MATCH(NDVImax,INDEX(D:D,Lig_min,1):INDEX(D:D,Lig_max,1),0)-Lig_min+1&gt;0,MAX(MIN(Zr_min+MAX(INDEX(G:G,Lig_min,1):INDEX(G:G,Lig_max,1))/MAX(MAX(INDEX(G:G,Lig_min,1):INDEX(G:G,Lig_max,1)),Max_fc_pour_Zrmax)*(Zr_max-Zr_min),Zr_max),Ze+0.001),MAX(MIN(Zr_min+G159/MAX(MAX(INDEX(G:G,Lig_min,1):INDEX(G:G,Lig_max,1)),Max_fc_pour_Zrmax)*(Zr_max-Zr_min),Zr_max),Ze+0.001))</f>
        <v>537.834525141307</v>
      </c>
      <c r="Q159" s="35">
        <f ca="1">IF(Z_sol&gt;0,Z_sol-P159,0.1)</f>
        <v>76.0400259231267</v>
      </c>
      <c r="R159" s="35">
        <f ca="1">(Wfc-Wwp)*P159</f>
        <v>69.91848826837</v>
      </c>
      <c r="S159" s="35">
        <f ca="1">(Wfc-Wwp)*Q159</f>
        <v>9.88520337000647</v>
      </c>
      <c r="T159" s="99">
        <f ca="1" t="shared" si="31"/>
        <v>2.96592036473087</v>
      </c>
      <c r="U159" s="99">
        <f ca="1" t="shared" si="32"/>
        <v>2.14655923489591</v>
      </c>
      <c r="V159" s="99">
        <f ca="1">IF(P159&gt;P158,IF(Q159&gt;1,MAX(AI158+(Wfc-Wwp)*(P159-P158)*AJ158/S158,0),AI158/P158*P159),MAX(AI158+(Wfc-Wwp)*(P159-P158)*AI158/R158,0))</f>
        <v>5.22005561658278</v>
      </c>
      <c r="W159" s="99">
        <f ca="1">IF(S159&gt;1,IF(P159&gt;P158,MAX(AJ158-(Wfc-Wwp)*(P159-P158)*AJ158/S158,0),MAX(AJ158-(Wfc-Wwp)*(P159-P158)*AI158/R158,0)),0)</f>
        <v>2.14564755742912e-8</v>
      </c>
      <c r="X159" s="99">
        <f ca="1">IF(AND(OR(AND(dec_vide_TAW&lt;0,V159&gt;R159*(p+0.04*(5-I158))),AND(dec_vide_TAW&gt;0,V159&gt;R159*dec_vide_TAW)),H159&gt;MAX(INDEX(H:H,Lig_min,1):INDEX(H:H,ROW(X159),1))*Kcbmax_stop_irrig*IF(ROW(X159)-lig_kcbmax&gt;0,1,0),MIN(INDEX(H:H,ROW(X159),1):INDEX(H:H,lig_kcbmax,1))&gt;Kcbmin_start_irrig),MIN(MAX(V159-E159*Irri_man-C159,0),Lame_max),0)</f>
        <v>0</v>
      </c>
      <c r="Y159" s="99">
        <f ca="1">MIN(MAX(T159-C159-IF(fw&gt;0,X159/fw*Irri_auto+E159/fw*Irri_man,0),0),TEW)</f>
        <v>2.96592036473087</v>
      </c>
      <c r="Z159" s="99">
        <f ca="1">MIN(MAX(U159-C159,0),TEW)</f>
        <v>2.14655923489591</v>
      </c>
      <c r="AA159" s="99">
        <f ca="1">MIN(MAX(V159-C159-(X159*Irri_auto+E159*Irri_man),0),R159)</f>
        <v>5.22005561658278</v>
      </c>
      <c r="AB159" s="99">
        <f ca="1">MIN(MAX(W159+MIN(V159-C159-(X159*Irri_auto+E159*Irri_man),0),0),S159)</f>
        <v>2.14564755742912e-8</v>
      </c>
      <c r="AC159" s="99">
        <f ca="1">-MIN(W159+MIN(V159-C159-(X159*Irri_auto+E159*Irri_man),0),0)</f>
        <v>0</v>
      </c>
      <c r="AD159" s="39">
        <f ca="1">IF(((R159-AA159)/P159-((Wfc-Wwp)*Ze-Y159)/Ze)/Wfc*DiffE&lt;0,MAX(((R159-AA159)/P159-((Wfc-Wwp)*Ze-Y159)/Ze)/Wfc*DiffE,(R159*Ze-((Wfc-Wwp)*Ze-Y159-AA159)*P159)/(P159+Ze)-AA159),MIN(((R159-AA159)/P159-((Wfc-Wwp)*Ze-Y159)/Ze)/Wfc*DiffE,(R159*Ze-((Wfc-Wwp)*Ze-Y159-AA159)*P159)/(P159+Ze)-AA159))</f>
        <v>3.50541802295583e-8</v>
      </c>
      <c r="AE159" s="39">
        <f ca="1">IF(((R159-AA159)/P159-((Wfc-Wwp)*Ze-Z159)/Ze)/Wfc*DiffE&lt;0,MAX(((R159-AA159)/P159-((Wfc-Wwp)*Ze-Z159)/Ze)/Wfc*DiffE,(R159*Ze-((Wfc-Wwp)*Ze-Z159-AA159)*P159)/(P159+Ze)-AA159),MIN(((R159-AA159)/P159-((Wfc-Wwp)*Ze-Z159)/Ze)/Wfc*DiffE,(R159*Ze-((Wfc-Wwp)*Ze-Z159-AA159)*P159)/(P159+Ze)-AA159))</f>
        <v>1.86669576328591e-8</v>
      </c>
      <c r="AF159" s="39">
        <f ca="1">IF(((S159-AB159)/Q159-(R159-AA159)/P159)/Wfc*DiffR&lt;0,MAX(((S159-AB159)/Q159-(R159-AA159)/P159)/Wfc*DiffR,(S159*P159-(R159-AA159-AB159)*Q159)/(P159+Q159)-AB159),MIN(((S159-AB159)/Q159-(R159-AA159)/P159)/Wfc*DiffR,(S159*P159-(R159-AA159-AB159)*Q159)/(P159+Q159)-AB159))</f>
        <v>2.42642263596256e-8</v>
      </c>
      <c r="AG159" s="99">
        <f ca="1">MIN(MAX(Y159+IF(AU159&gt;0,B159*AZ159/AU159,0)+BE159-AD159,0),TEW)</f>
        <v>4.18074782941211</v>
      </c>
      <c r="AH159" s="99">
        <f ca="1">MIN(MAX(Z159+IF(AV159&gt;0,B159*BA159/AV159,0)+BF159-AE159,0),TEW)</f>
        <v>3.05399936902416</v>
      </c>
      <c r="AI159" s="99">
        <f ca="1" t="shared" si="23"/>
        <v>7.41576536655793</v>
      </c>
      <c r="AJ159" s="99">
        <f ca="1" t="shared" si="24"/>
        <v>4.57207019339169e-8</v>
      </c>
      <c r="AK159" s="70">
        <f ca="1">IF((AU159+AV159)&gt;0,(TEW-(AG159*AU159+AH159*AV159)/(AU159+AV159))/TEW,(TEW-(AG159+AH159)/2)/TEW)</f>
        <v>0.873788744772464</v>
      </c>
      <c r="AL159" s="70">
        <f ca="1" t="shared" si="25"/>
        <v>0.893936989339732</v>
      </c>
      <c r="AM159" s="70">
        <f ca="1" t="shared" si="26"/>
        <v>0.999999995374834</v>
      </c>
      <c r="AN159" s="70">
        <f ca="1">Wwp+(Wfc-Wwp)*IF((AU159+AV159)&gt;0,(TEW-(AG159*AU159+AH159*AV159)/(AU159+AV159))/TEW,(TEW-(AG159+AH159)/2)/TEW)</f>
        <v>0.38359253682042</v>
      </c>
      <c r="AO159" s="70">
        <f ca="1">Wwp+(Wfc-Wwp)*(R159-AI159)/R159</f>
        <v>0.386211808614165</v>
      </c>
      <c r="AP159" s="70">
        <f ca="1">Wwp+(Wfc-Wwp)*(S159-AJ159)/S159</f>
        <v>0.399999999398728</v>
      </c>
      <c r="AQ159" s="70"/>
      <c r="AR159" s="70"/>
      <c r="AS159" s="70"/>
      <c r="AT159" s="70"/>
      <c r="AU159" s="70">
        <f ca="1">MIN((1-G159),fw)</f>
        <v>0.122666666666667</v>
      </c>
      <c r="AV159" s="70">
        <f ca="1" t="shared" si="27"/>
        <v>0</v>
      </c>
      <c r="AW159" s="70">
        <f ca="1">MIN((TEW-Y159)/(TEW-REW),1)</f>
        <v>0.115882064007115</v>
      </c>
      <c r="AX159" s="70">
        <f ca="1">MIN((TEW-Z159)/(TEW-REW),1)</f>
        <v>0.119030345056827</v>
      </c>
      <c r="AY159" s="70">
        <f ca="1">IF((AU159*(TEW-Y159))&gt;0,1/(1+((AV159*(TEW-Z159))/(AU159*(TEW-Y159)))),0)</f>
        <v>1</v>
      </c>
      <c r="AZ159" s="70">
        <f ca="1">MIN((AY159*AW159*(Kcmax-H159)),AU159*Kcmax)</f>
        <v>0.0186554998220674</v>
      </c>
      <c r="BA159" s="70">
        <f ca="1">MIN(((1-AY159)*AX159*(Kcmax-H159)),AV159*Kcmax)</f>
        <v>0</v>
      </c>
      <c r="BB159" s="70">
        <f ca="1" t="shared" si="28"/>
        <v>0.0406503341122848</v>
      </c>
      <c r="BC159" s="70">
        <f ca="1">MIN((R159-AA159)/(R159*(1-(p+0.04*(5-I158)))),1)</f>
        <v>1</v>
      </c>
      <c r="BD159" s="10">
        <f ca="1" t="shared" si="29"/>
        <v>2.15505944012709</v>
      </c>
      <c r="BE159" s="70">
        <f ca="1">MIN(IF((1-AA159/R159)&gt;0,(1-Y159/TEW)/(1-AA159/R159)*(Ze/P159)^0.6,0),1)*BC159*H159*B159</f>
        <v>0.88343890642875</v>
      </c>
      <c r="BF159" s="70">
        <f ca="1">MIN(IF((1-AA159/R159)&gt;0,(1-Z159/TEW)/(1-AA159/R159)*(Ze/P159)^0.6,0),1)*BC159*H159*B159</f>
        <v>0.907440152795204</v>
      </c>
      <c r="BH159" s="10">
        <f ca="1" t="shared" si="30"/>
        <v>0.0596398791016898</v>
      </c>
      <c r="BI159" s="10">
        <f ca="1">IF(F159&lt;&gt;"",(Moy_Etobs-F159)^2,"")</f>
        <v>0.117391498249301</v>
      </c>
    </row>
    <row r="160" spans="1:61">
      <c r="A160" s="38">
        <v>39153</v>
      </c>
      <c r="B160" s="10">
        <v>2.069</v>
      </c>
      <c r="C160" s="39">
        <v>0</v>
      </c>
      <c r="D160">
        <v>0.811</v>
      </c>
      <c r="E160" s="39">
        <v>0</v>
      </c>
      <c r="F160" s="10">
        <v>1.8637002</v>
      </c>
      <c r="G160" s="10">
        <f ca="1">MIN(MAX(IF(AND(Durpla&gt;ROW()-MATCH(NDVImax,INDEX(D:D,Lig_min,1):INDEX(D:D,Lig_max,1),0)-Lig_min+1,ROW()-MATCH(NDVImax,INDEX(D:D,Lig_min,1):INDEX(D:D,Lig_max,1),0)-Lig_min+1&gt;0,D160*a_fc+b_fc&gt;fc_fin),NDVImax*a_fc+b_fc,D160*a_fc+b_fc),0),1)</f>
        <v>0.881333333333333</v>
      </c>
      <c r="H160" s="55">
        <f>MIN(MAX(D160*a_kcb+b_kcb,0),Kcmax)</f>
        <v>0.993522229965227</v>
      </c>
      <c r="I160" s="70">
        <f ca="1" t="shared" si="22"/>
        <v>2.09160338875567</v>
      </c>
      <c r="O160" s="55"/>
      <c r="P160" s="35">
        <f ca="1">IF(ROW()-MATCH(NDVImax,INDEX(D:D,Lig_min,1):INDEX(D:D,Lig_max,1),0)-Lig_min+1&gt;0,MAX(MIN(Zr_min+MAX(INDEX(G:G,Lig_min,1):INDEX(G:G,Lig_max,1))/MAX(MAX(INDEX(G:G,Lig_min,1):INDEX(G:G,Lig_max,1)),Max_fc_pour_Zrmax)*(Zr_max-Zr_min),Zr_max),Ze+0.001),MAX(MIN(Zr_min+G160/MAX(MAX(INDEX(G:G,Lig_min,1):INDEX(G:G,Lig_max,1)),Max_fc_pour_Zrmax)*(Zr_max-Zr_min),Zr_max),Ze+0.001))</f>
        <v>539.716749420067</v>
      </c>
      <c r="Q160" s="35">
        <f ca="1">IF(Z_sol&gt;0,Z_sol-P160,0.1)</f>
        <v>74.1578016443669</v>
      </c>
      <c r="R160" s="35">
        <f ca="1">(Wfc-Wwp)*P160</f>
        <v>70.1631774246087</v>
      </c>
      <c r="S160" s="35">
        <f ca="1">(Wfc-Wwp)*Q160</f>
        <v>9.6405142137677</v>
      </c>
      <c r="T160" s="99">
        <f ca="1" t="shared" si="31"/>
        <v>4.18074782941211</v>
      </c>
      <c r="U160" s="99">
        <f ca="1" t="shared" si="32"/>
        <v>3.05399936902416</v>
      </c>
      <c r="V160" s="99">
        <f ca="1">IF(P160&gt;P159,IF(Q160&gt;1,MAX(AI159+(Wfc-Wwp)*(P160-P159)*AJ159/S159,0),AI159/P159*P160),MAX(AI159+(Wfc-Wwp)*(P160-P159)*AI159/R159,0))</f>
        <v>7.41576536768966</v>
      </c>
      <c r="W160" s="99">
        <f ca="1">IF(S160&gt;1,IF(P160&gt;P159,MAX(AJ159-(Wfc-Wwp)*(P160-P159)*AJ159/S159,0),MAX(AJ159-(Wfc-Wwp)*(P160-P159)*AI159/R159,0)),0)</f>
        <v>4.45889740816808e-8</v>
      </c>
      <c r="X160" s="99">
        <f ca="1">IF(AND(OR(AND(dec_vide_TAW&lt;0,V160&gt;R160*(p+0.04*(5-I159))),AND(dec_vide_TAW&gt;0,V160&gt;R160*dec_vide_TAW)),H160&gt;MAX(INDEX(H:H,Lig_min,1):INDEX(H:H,ROW(X160),1))*Kcbmax_stop_irrig*IF(ROW(X160)-lig_kcbmax&gt;0,1,0),MIN(INDEX(H:H,ROW(X160),1):INDEX(H:H,lig_kcbmax,1))&gt;Kcbmin_start_irrig),MIN(MAX(V160-E160*Irri_man-C160,0),Lame_max),0)</f>
        <v>0</v>
      </c>
      <c r="Y160" s="99">
        <f ca="1">MIN(MAX(T160-C160-IF(fw&gt;0,X160/fw*Irri_auto+E160/fw*Irri_man,0),0),TEW)</f>
        <v>4.18074782941211</v>
      </c>
      <c r="Z160" s="99">
        <f ca="1">MIN(MAX(U160-C160,0),TEW)</f>
        <v>3.05399936902416</v>
      </c>
      <c r="AA160" s="99">
        <f ca="1">MIN(MAX(V160-C160-(X160*Irri_auto+E160*Irri_man),0),R160)</f>
        <v>7.41576536768966</v>
      </c>
      <c r="AB160" s="99">
        <f ca="1">MIN(MAX(W160+MIN(V160-C160-(X160*Irri_auto+E160*Irri_man),0),0),S160)</f>
        <v>4.45889740816808e-8</v>
      </c>
      <c r="AC160" s="99">
        <f ca="1">-MIN(W160+MIN(V160-C160-(X160*Irri_auto+E160*Irri_man),0),0)</f>
        <v>0</v>
      </c>
      <c r="AD160" s="39">
        <f ca="1">IF(((R160-AA160)/P160-((Wfc-Wwp)*Ze-Y160)/Ze)/Wfc*DiffE&lt;0,MAX(((R160-AA160)/P160-((Wfc-Wwp)*Ze-Y160)/Ze)/Wfc*DiffE,(R160*Ze-((Wfc-Wwp)*Ze-Y160-AA160)*P160)/(P160+Ze)-AA160),MIN(((R160-AA160)/P160-((Wfc-Wwp)*Ze-Y160)/Ze)/Wfc*DiffE,(R160*Ze-((Wfc-Wwp)*Ze-Y160-AA160)*P160)/(P160+Ze)-AA160))</f>
        <v>4.92646914924397e-8</v>
      </c>
      <c r="AE160" s="39">
        <f ca="1">IF(((R160-AA160)/P160-((Wfc-Wwp)*Ze-Z160)/Ze)/Wfc*DiffE&lt;0,MAX(((R160-AA160)/P160-((Wfc-Wwp)*Ze-Z160)/Ze)/Wfc*DiffE,(R160*Ze-((Wfc-Wwp)*Ze-Z160-AA160)*P160)/(P160+Ze)-AA160),MIN(((R160-AA160)/P160-((Wfc-Wwp)*Ze-Z160)/Ze)/Wfc*DiffE,(R160*Ze-((Wfc-Wwp)*Ze-Z160-AA160)*P160)/(P160+Ze)-AA160))</f>
        <v>2.67297222846807e-8</v>
      </c>
      <c r="AF160" s="39">
        <f ca="1">IF(((S160-AB160)/Q160-(R160-AA160)/P160)/Wfc*DiffR&lt;0,MAX(((S160-AB160)/Q160-(R160-AA160)/P160)/Wfc*DiffR,(S160*P160-(R160-AA160-AB160)*Q160)/(P160+Q160)-AB160),MIN(((S160-AB160)/Q160-(R160-AA160)/P160)/Wfc*DiffR,(S160*P160-(R160-AA160-AB160)*Q160)/(P160+Q160)-AB160))</f>
        <v>3.43502635926238e-8</v>
      </c>
      <c r="AG160" s="99">
        <f ca="1">MIN(MAX(Y160+IF(AU160&gt;0,B160*AZ160/AU160,0)+BE160-AD160,0),TEW)</f>
        <v>5.31920275626948</v>
      </c>
      <c r="AH160" s="99">
        <f ca="1">MIN(MAX(Z160+IF(AV160&gt;0,B160*BA160/AV160,0)+BF160-AE160,0),TEW)</f>
        <v>3.9215402695639</v>
      </c>
      <c r="AI160" s="99">
        <f ca="1" t="shared" si="23"/>
        <v>9.50736872209506</v>
      </c>
      <c r="AJ160" s="99">
        <f ca="1" t="shared" si="24"/>
        <v>7.89392376743046e-8</v>
      </c>
      <c r="AK160" s="70">
        <f ca="1">IF((AU160+AV160)&gt;0,(TEW-(AG160*AU160+AH160*AV160)/(AU160+AV160))/TEW,(TEW-(AG160+AH160)/2)/TEW)</f>
        <v>0.839420294150355</v>
      </c>
      <c r="AL160" s="70">
        <f ca="1" t="shared" si="25"/>
        <v>0.864496320276959</v>
      </c>
      <c r="AM160" s="70">
        <f ca="1" t="shared" si="26"/>
        <v>0.999999991811719</v>
      </c>
      <c r="AN160" s="70">
        <f ca="1">Wwp+(Wfc-Wwp)*IF((AU160+AV160)&gt;0,(TEW-(AG160*AU160+AH160*AV160)/(AU160+AV160))/TEW,(TEW-(AG160+AH160)/2)/TEW)</f>
        <v>0.379124638239546</v>
      </c>
      <c r="AO160" s="70">
        <f ca="1">Wwp+(Wfc-Wwp)*(R160-AI160)/R160</f>
        <v>0.382384521636005</v>
      </c>
      <c r="AP160" s="70">
        <f ca="1">Wwp+(Wfc-Wwp)*(S160-AJ160)/S160</f>
        <v>0.399999998935524</v>
      </c>
      <c r="AQ160" s="70"/>
      <c r="AR160" s="70"/>
      <c r="AS160" s="70"/>
      <c r="AT160" s="70"/>
      <c r="AU160" s="70">
        <f ca="1">MIN((1-G160),fw)</f>
        <v>0.118666666666667</v>
      </c>
      <c r="AV160" s="70">
        <f ca="1" t="shared" si="27"/>
        <v>0</v>
      </c>
      <c r="AW160" s="70">
        <f ca="1">MIN((TEW-Y160)/(TEW-REW),1)</f>
        <v>0.11121425863234</v>
      </c>
      <c r="AX160" s="70">
        <f ca="1">MIN((TEW-Z160)/(TEW-REW),1)</f>
        <v>0.115543632697651</v>
      </c>
      <c r="AY160" s="70">
        <f ca="1">IF((AU160*(TEW-Y160))&gt;0,1/(1+((AV160*(TEW-Z160))/(AU160*(TEW-Y160)))),0)</f>
        <v>1</v>
      </c>
      <c r="AZ160" s="70">
        <f ca="1">MIN((AY160*AW160*(Kcmax-H160)),AU160*Kcmax)</f>
        <v>0.017402559186859</v>
      </c>
      <c r="BA160" s="70">
        <f ca="1">MIN(((1-AY160)*AX160*(Kcmax-H160)),AV160*Kcmax)</f>
        <v>0</v>
      </c>
      <c r="BB160" s="70">
        <f ca="1" t="shared" si="28"/>
        <v>0.0360058949576112</v>
      </c>
      <c r="BC160" s="70">
        <f ca="1">MIN((R160-AA160)/(R160*(1-(p+0.04*(5-I159)))),1)</f>
        <v>1</v>
      </c>
      <c r="BD160" s="10">
        <f ca="1" t="shared" si="29"/>
        <v>2.05559749379806</v>
      </c>
      <c r="BE160" s="70">
        <f ca="1">MIN(IF((1-AA160/R160)&gt;0,(1-Y160/TEW)/(1-AA160/R160)*(Ze/P160)^0.6,0),1)*BC160*H160*B160</f>
        <v>0.835034512996121</v>
      </c>
      <c r="BF160" s="70">
        <f ca="1">MIN(IF((1-AA160/R160)&gt;0,(1-Z160/TEW)/(1-AA160/R160)*(Ze/P160)^0.6,0),1)*BC160*H160*B160</f>
        <v>0.867540927269462</v>
      </c>
      <c r="BH160" s="10">
        <f ca="1" t="shared" si="30"/>
        <v>0.0519398634450011</v>
      </c>
      <c r="BI160" s="10">
        <f ca="1">IF(F160&lt;&gt;"",(Moy_Etobs-F160)^2,"")</f>
        <v>0.0649371196849171</v>
      </c>
    </row>
    <row r="161" spans="1:61">
      <c r="A161" s="38">
        <v>39154</v>
      </c>
      <c r="B161" s="10">
        <v>2.1</v>
      </c>
      <c r="C161" s="39">
        <v>0.198</v>
      </c>
      <c r="D161">
        <v>0.814</v>
      </c>
      <c r="E161" s="39">
        <v>0</v>
      </c>
      <c r="F161" s="10">
        <v>2.1061548</v>
      </c>
      <c r="G161" s="10">
        <f ca="1">MIN(MAX(IF(AND(Durpla&gt;ROW()-MATCH(NDVImax,INDEX(D:D,Lig_min,1):INDEX(D:D,Lig_max,1),0)-Lig_min+1,ROW()-MATCH(NDVImax,INDEX(D:D,Lig_min,1):INDEX(D:D,Lig_max,1),0)-Lig_min+1&gt;0,D161*a_fc+b_fc&gt;fc_fin),NDVImax*a_fc+b_fc,D161*a_fc+b_fc),0),1)</f>
        <v>0.885333333333333</v>
      </c>
      <c r="H161" s="55">
        <f>MIN(MAX(D161*a_kcb+b_kcb,0),Kcmax)</f>
        <v>0.998031408013481</v>
      </c>
      <c r="I161" s="70">
        <f ca="1" t="shared" si="22"/>
        <v>2.13020500056411</v>
      </c>
      <c r="O161" s="55"/>
      <c r="P161" s="35">
        <f ca="1">IF(ROW()-MATCH(NDVImax,INDEX(D:D,Lig_min,1):INDEX(D:D,Lig_max,1),0)-Lig_min+1&gt;0,MAX(MIN(Zr_min+MAX(INDEX(G:G,Lig_min,1):INDEX(G:G,Lig_max,1))/MAX(MAX(INDEX(G:G,Lig_min,1):INDEX(G:G,Lig_max,1)),Max_fc_pour_Zrmax)*(Zr_max-Zr_min),Zr_max),Ze+0.001),MAX(MIN(Zr_min+G161/MAX(MAX(INDEX(G:G,Lig_min,1):INDEX(G:G,Lig_max,1)),Max_fc_pour_Zrmax)*(Zr_max-Zr_min),Zr_max),Ze+0.001))</f>
        <v>541.598973698827</v>
      </c>
      <c r="Q161" s="35">
        <f ca="1">IF(Z_sol&gt;0,Z_sol-P161,0.1)</f>
        <v>72.2755773656071</v>
      </c>
      <c r="R161" s="35">
        <f ca="1">(Wfc-Wwp)*P161</f>
        <v>70.4078665808475</v>
      </c>
      <c r="S161" s="35">
        <f ca="1">(Wfc-Wwp)*Q161</f>
        <v>9.39582505752892</v>
      </c>
      <c r="T161" s="99">
        <f ca="1" t="shared" si="31"/>
        <v>5.31920275626948</v>
      </c>
      <c r="U161" s="99">
        <f ca="1" t="shared" si="32"/>
        <v>3.9215402695639</v>
      </c>
      <c r="V161" s="99">
        <f ca="1">IF(P161&gt;P160,IF(Q161&gt;1,MAX(AI160+(Wfc-Wwp)*(P161-P160)*AJ160/S160,0),AI160/P160*P161),MAX(AI160+(Wfc-Wwp)*(P161-P160)*AI160/R160,0))</f>
        <v>9.50736872409864</v>
      </c>
      <c r="W161" s="99">
        <f ca="1">IF(S161&gt;1,IF(P161&gt;P160,MAX(AJ160-(Wfc-Wwp)*(P161-P160)*AJ160/S160,0),MAX(AJ160-(Wfc-Wwp)*(P161-P160)*AI160/R160,0)),0)</f>
        <v>7.6935654148327e-8</v>
      </c>
      <c r="X161" s="99">
        <f ca="1">IF(AND(OR(AND(dec_vide_TAW&lt;0,V161&gt;R161*(p+0.04*(5-I160))),AND(dec_vide_TAW&gt;0,V161&gt;R161*dec_vide_TAW)),H161&gt;MAX(INDEX(H:H,Lig_min,1):INDEX(H:H,ROW(X161),1))*Kcbmax_stop_irrig*IF(ROW(X161)-lig_kcbmax&gt;0,1,0),MIN(INDEX(H:H,ROW(X161),1):INDEX(H:H,lig_kcbmax,1))&gt;Kcbmin_start_irrig),MIN(MAX(V161-E161*Irri_man-C161,0),Lame_max),0)</f>
        <v>0</v>
      </c>
      <c r="Y161" s="99">
        <f ca="1">MIN(MAX(T161-C161-IF(fw&gt;0,X161/fw*Irri_auto+E161/fw*Irri_man,0),0),TEW)</f>
        <v>5.12120275626948</v>
      </c>
      <c r="Z161" s="99">
        <f ca="1">MIN(MAX(U161-C161,0),TEW)</f>
        <v>3.7235402695639</v>
      </c>
      <c r="AA161" s="99">
        <f ca="1">MIN(MAX(V161-C161-(X161*Irri_auto+E161*Irri_man),0),R161)</f>
        <v>9.30936872409864</v>
      </c>
      <c r="AB161" s="99">
        <f ca="1">MIN(MAX(W161+MIN(V161-C161-(X161*Irri_auto+E161*Irri_man),0),0),S161)</f>
        <v>7.6935654148327e-8</v>
      </c>
      <c r="AC161" s="99">
        <f ca="1">-MIN(W161+MIN(V161-C161-(X161*Irri_auto+E161*Irri_man),0),0)</f>
        <v>0</v>
      </c>
      <c r="AD161" s="39">
        <f ca="1">IF(((R161-AA161)/P161-((Wfc-Wwp)*Ze-Y161)/Ze)/Wfc*DiffE&lt;0,MAX(((R161-AA161)/P161-((Wfc-Wwp)*Ze-Y161)/Ze)/Wfc*DiffE,(R161*Ze-((Wfc-Wwp)*Ze-Y161-AA161)*P161)/(P161+Ze)-AA161),MIN(((R161-AA161)/P161-((Wfc-Wwp)*Ze-Y161)/Ze)/Wfc*DiffE,(R161*Ze-((Wfc-Wwp)*Ze-Y161-AA161)*P161)/(P161+Ze)-AA161))</f>
        <v>5.94523676952939e-8</v>
      </c>
      <c r="AE161" s="39">
        <f ca="1">IF(((R161-AA161)/P161-((Wfc-Wwp)*Ze-Z161)/Ze)/Wfc*DiffE&lt;0,MAX(((R161-AA161)/P161-((Wfc-Wwp)*Ze-Z161)/Ze)/Wfc*DiffE,(R161*Ze-((Wfc-Wwp)*Ze-Z161-AA161)*P161)/(P161+Ze)-AA161),MIN(((R161-AA161)/P161-((Wfc-Wwp)*Ze-Z161)/Ze)/Wfc*DiffE,(R161*Ze-((Wfc-Wwp)*Ze-Z161-AA161)*P161)/(P161+Ze)-AA161))</f>
        <v>3.14991179611823e-8</v>
      </c>
      <c r="AF161" s="39">
        <f ca="1">IF(((S161-AB161)/Q161-(R161-AA161)/P161)/Wfc*DiffR&lt;0,MAX(((S161-AB161)/Q161-(R161-AA161)/P161)/Wfc*DiffR,(S161*P161-(R161-AA161-AB161)*Q161)/(P161+Q161)-AB161),MIN(((S161-AB161)/Q161-(R161-AA161)/P161)/Wfc*DiffR,(S161*P161-(R161-AA161-AB161)*Q161)/(P161+Q161)-AB161))</f>
        <v>4.29716847689044e-8</v>
      </c>
      <c r="AG161" s="99">
        <f ca="1">MIN(MAX(Y161+IF(AU161&gt;0,B161*AZ161/AU161,0)+BE161-AD161,0),TEW)</f>
        <v>6.26780976081515</v>
      </c>
      <c r="AH161" s="99">
        <f ca="1">MIN(MAX(Z161+IF(AV161&gt;0,B161*BA161/AV161,0)+BF161-AE161,0),TEW)</f>
        <v>4.61295937510084</v>
      </c>
      <c r="AI161" s="99">
        <f ca="1" t="shared" si="23"/>
        <v>11.4395736816911</v>
      </c>
      <c r="AJ161" s="99">
        <f ca="1" t="shared" si="24"/>
        <v>1.19907338917231e-7</v>
      </c>
      <c r="AK161" s="70">
        <f ca="1">IF((AU161+AV161)&gt;0,(TEW-(AG161*AU161+AH161*AV161)/(AU161+AV161))/TEW,(TEW-(AG161+AH161)/2)/TEW)</f>
        <v>0.810783101560297</v>
      </c>
      <c r="AL161" s="70">
        <f ca="1" t="shared" si="25"/>
        <v>0.837524210898291</v>
      </c>
      <c r="AM161" s="70">
        <f ca="1" t="shared" si="26"/>
        <v>0.999999987238232</v>
      </c>
      <c r="AN161" s="70">
        <f ca="1">Wwp+(Wfc-Wwp)*IF((AU161+AV161)&gt;0,(TEW-(AG161*AU161+AH161*AV161)/(AU161+AV161))/TEW,(TEW-(AG161+AH161)/2)/TEW)</f>
        <v>0.375401803202839</v>
      </c>
      <c r="AO161" s="70">
        <f ca="1">Wwp+(Wfc-Wwp)*(R161-AI161)/R161</f>
        <v>0.378878147416778</v>
      </c>
      <c r="AP161" s="70">
        <f ca="1">Wwp+(Wfc-Wwp)*(S161-AJ161)/S161</f>
        <v>0.39999999834097</v>
      </c>
      <c r="AQ161" s="70"/>
      <c r="AR161" s="70"/>
      <c r="AS161" s="70"/>
      <c r="AT161" s="70"/>
      <c r="AU161" s="70">
        <f ca="1">MIN((1-G161),fw)</f>
        <v>0.114666666666667</v>
      </c>
      <c r="AV161" s="70">
        <f ca="1" t="shared" si="27"/>
        <v>0</v>
      </c>
      <c r="AW161" s="70">
        <f ca="1">MIN((TEW-Y161)/(TEW-REW),1)</f>
        <v>0.107600691529236</v>
      </c>
      <c r="AX161" s="70">
        <f ca="1">MIN((TEW-Z161)/(TEW-REW),1)</f>
        <v>0.112971015017336</v>
      </c>
      <c r="AY161" s="70">
        <f ca="1">IF((AU161*(TEW-Y161))&gt;0,1/(1+((AV161*(TEW-Z161))/(AU161*(TEW-Y161)))),0)</f>
        <v>1</v>
      </c>
      <c r="AZ161" s="70">
        <f ca="1">MIN((AY161*AW161*(Kcmax-H161)),AU161*Kcmax)</f>
        <v>0.0163519255884738</v>
      </c>
      <c r="BA161" s="70">
        <f ca="1">MIN(((1-AY161)*AX161*(Kcmax-H161)),AV161*Kcmax)</f>
        <v>0</v>
      </c>
      <c r="BB161" s="70">
        <f ca="1" t="shared" si="28"/>
        <v>0.0343390437357949</v>
      </c>
      <c r="BC161" s="70">
        <f ca="1">MIN((R161-AA161)/(R161*(1-(p+0.04*(5-I160)))),1)</f>
        <v>1</v>
      </c>
      <c r="BD161" s="10">
        <f ca="1" t="shared" si="29"/>
        <v>2.09586595682831</v>
      </c>
      <c r="BE161" s="70">
        <f ca="1">MIN(IF((1-AA161/R161)&gt;0,(1-Y161/TEW)/(1-AA161/R161)*(Ze/P161)^0.6,0),1)*BC161*H161*B161</f>
        <v>0.84713865932541</v>
      </c>
      <c r="BF161" s="70">
        <f ca="1">MIN(IF((1-AA161/R161)&gt;0,(1-Z161/TEW)/(1-AA161/R161)*(Ze/P161)^0.6,0),1)*BC161*H161*B161</f>
        <v>0.889419137036063</v>
      </c>
      <c r="BH161" s="10">
        <f ca="1" t="shared" si="30"/>
        <v>0.000578412147173687</v>
      </c>
      <c r="BI161" s="10">
        <f ca="1">IF(F161&lt;&gt;"",(Moy_Etobs-F161)^2,"")</f>
        <v>0.247289613685181</v>
      </c>
    </row>
    <row r="162" spans="1:61">
      <c r="A162" s="38">
        <v>39155</v>
      </c>
      <c r="B162" s="10">
        <v>1.925</v>
      </c>
      <c r="C162" s="39">
        <v>0</v>
      </c>
      <c r="D162">
        <v>0.817</v>
      </c>
      <c r="E162" s="39">
        <v>0</v>
      </c>
      <c r="F162" s="10">
        <v>1.5603588</v>
      </c>
      <c r="G162" s="10">
        <f ca="1">MIN(MAX(IF(AND(Durpla&gt;ROW()-MATCH(NDVImax,INDEX(D:D,Lig_min,1):INDEX(D:D,Lig_max,1),0)-Lig_min+1,ROW()-MATCH(NDVImax,INDEX(D:D,Lig_min,1):INDEX(D:D,Lig_max,1),0)-Lig_min+1&gt;0,D162*a_fc+b_fc&gt;fc_fin),NDVImax*a_fc+b_fc,D162*a_fc+b_fc),0),1)</f>
        <v>0.889333333333333</v>
      </c>
      <c r="H162" s="55">
        <f>MIN(MAX(D162*a_kcb+b_kcb,0),Kcmax)</f>
        <v>1.00254058606173</v>
      </c>
      <c r="I162" s="70">
        <f ca="1" t="shared" si="22"/>
        <v>1.95918349995461</v>
      </c>
      <c r="O162" s="55"/>
      <c r="P162" s="35">
        <f ca="1">IF(ROW()-MATCH(NDVImax,INDEX(D:D,Lig_min,1):INDEX(D:D,Lig_max,1),0)-Lig_min+1&gt;0,MAX(MIN(Zr_min+MAX(INDEX(G:G,Lig_min,1):INDEX(G:G,Lig_max,1))/MAX(MAX(INDEX(G:G,Lig_min,1):INDEX(G:G,Lig_max,1)),Max_fc_pour_Zrmax)*(Zr_max-Zr_min),Zr_max),Ze+0.001),MAX(MIN(Zr_min+G162/MAX(MAX(INDEX(G:G,Lig_min,1):INDEX(G:G,Lig_max,1)),Max_fc_pour_Zrmax)*(Zr_max-Zr_min),Zr_max),Ze+0.001))</f>
        <v>543.481197977587</v>
      </c>
      <c r="Q162" s="35">
        <f ca="1">IF(Z_sol&gt;0,Z_sol-P162,0.1)</f>
        <v>70.3933530868475</v>
      </c>
      <c r="R162" s="35">
        <f ca="1">(Wfc-Wwp)*P162</f>
        <v>70.6525557370863</v>
      </c>
      <c r="S162" s="35">
        <f ca="1">(Wfc-Wwp)*Q162</f>
        <v>9.15113590129017</v>
      </c>
      <c r="T162" s="99">
        <f ca="1" t="shared" si="31"/>
        <v>6.26780976081515</v>
      </c>
      <c r="U162" s="99">
        <f ca="1" t="shared" si="32"/>
        <v>4.61295937510084</v>
      </c>
      <c r="V162" s="99">
        <f ca="1">IF(P162&gt;P161,IF(Q162&gt;1,MAX(AI161+(Wfc-Wwp)*(P162-P161)*AJ161/S161,0),AI161/P161*P162),MAX(AI161+(Wfc-Wwp)*(P162-P161)*AI161/R161,0))</f>
        <v>11.4395736848137</v>
      </c>
      <c r="W162" s="99">
        <f ca="1">IF(S162&gt;1,IF(P162&gt;P161,MAX(AJ161-(Wfc-Wwp)*(P162-P161)*AJ161/S161,0),MAX(AJ161-(Wfc-Wwp)*(P162-P161)*AI161/R161,0)),0)</f>
        <v>1.16784672689748e-7</v>
      </c>
      <c r="X162" s="99">
        <f ca="1">IF(AND(OR(AND(dec_vide_TAW&lt;0,V162&gt;R162*(p+0.04*(5-I161))),AND(dec_vide_TAW&gt;0,V162&gt;R162*dec_vide_TAW)),H162&gt;MAX(INDEX(H:H,Lig_min,1):INDEX(H:H,ROW(X162),1))*Kcbmax_stop_irrig*IF(ROW(X162)-lig_kcbmax&gt;0,1,0),MIN(INDEX(H:H,ROW(X162),1):INDEX(H:H,lig_kcbmax,1))&gt;Kcbmin_start_irrig),MIN(MAX(V162-E162*Irri_man-C162,0),Lame_max),0)</f>
        <v>0</v>
      </c>
      <c r="Y162" s="99">
        <f ca="1">MIN(MAX(T162-C162-IF(fw&gt;0,X162/fw*Irri_auto+E162/fw*Irri_man,0),0),TEW)</f>
        <v>6.26780976081515</v>
      </c>
      <c r="Z162" s="99">
        <f ca="1">MIN(MAX(U162-C162,0),TEW)</f>
        <v>4.61295937510084</v>
      </c>
      <c r="AA162" s="99">
        <f ca="1">MIN(MAX(V162-C162-(X162*Irri_auto+E162*Irri_man),0),R162)</f>
        <v>11.4395736848137</v>
      </c>
      <c r="AB162" s="99">
        <f ca="1">MIN(MAX(W162+MIN(V162-C162-(X162*Irri_auto+E162*Irri_man),0),0),S162)</f>
        <v>1.16784672689748e-7</v>
      </c>
      <c r="AC162" s="99">
        <f ca="1">-MIN(W162+MIN(V162-C162-(X162*Irri_auto+E162*Irri_man),0),0)</f>
        <v>0</v>
      </c>
      <c r="AD162" s="39">
        <f ca="1">IF(((R162-AA162)/P162-((Wfc-Wwp)*Ze-Y162)/Ze)/Wfc*DiffE&lt;0,MAX(((R162-AA162)/P162-((Wfc-Wwp)*Ze-Y162)/Ze)/Wfc*DiffE,(R162*Ze-((Wfc-Wwp)*Ze-Y162-AA162)*P162)/(P162+Ze)-AA162),MIN(((R162-AA162)/P162-((Wfc-Wwp)*Ze-Y162)/Ze)/Wfc*DiffE,(R162*Ze-((Wfc-Wwp)*Ze-Y162-AA162)*P162)/(P162+Ze)-AA162))</f>
        <v>7.27344406487904e-8</v>
      </c>
      <c r="AE162" s="39">
        <f ca="1">IF(((R162-AA162)/P162-((Wfc-Wwp)*Ze-Z162)/Ze)/Wfc*DiffE&lt;0,MAX(((R162-AA162)/P162-((Wfc-Wwp)*Ze-Z162)/Ze)/Wfc*DiffE,(R162*Ze-((Wfc-Wwp)*Ze-Z162-AA162)*P162)/(P162+Ze)-AA162),MIN(((R162-AA162)/P162-((Wfc-Wwp)*Ze-Z162)/Ze)/Wfc*DiffE,(R162*Ze-((Wfc-Wwp)*Ze-Z162-AA162)*P162)/(P162+Ze)-AA162))</f>
        <v>3.96374329345043e-8</v>
      </c>
      <c r="AF162" s="39">
        <f ca="1">IF(((S162-AB162)/Q162-(R162-AA162)/P162)/Wfc*DiffR&lt;0,MAX(((S162-AB162)/Q162-(R162-AA162)/P162)/Wfc*DiffR,(S162*P162-(R162-AA162-AB162)*Q162)/(P162+Q162)-AB162),MIN(((S162-AB162)/Q162-(R162-AA162)/P162)/Wfc*DiffR,(S162*P162-(R162-AA162-AB162)*Q162)/(P162+Q162)-AB162))</f>
        <v>5.26217504199381e-8</v>
      </c>
      <c r="AG162" s="99">
        <f ca="1">MIN(MAX(Y162+IF(AU162&gt;0,B162*AZ162/AU162,0)+BE162-AD162,0),TEW)</f>
        <v>7.30551166027281</v>
      </c>
      <c r="AH162" s="99">
        <f ca="1">MIN(MAX(Z162+IF(AV162&gt;0,B162*BA162/AV162,0)+BF162-AE162,0),TEW)</f>
        <v>5.43359681475508</v>
      </c>
      <c r="AI162" s="99">
        <f ca="1" t="shared" si="23"/>
        <v>13.3987571321466</v>
      </c>
      <c r="AJ162" s="99">
        <f ca="1" t="shared" si="24"/>
        <v>1.69406423109686e-7</v>
      </c>
      <c r="AK162" s="70">
        <f ca="1">IF((AU162+AV162)&gt;0,(TEW-(AG162*AU162+AH162*AV162)/(AU162+AV162))/TEW,(TEW-(AG162+AH162)/2)/TEW)</f>
        <v>0.779456251765349</v>
      </c>
      <c r="AL162" s="70">
        <f ca="1" t="shared" si="25"/>
        <v>0.810357077782065</v>
      </c>
      <c r="AM162" s="70">
        <f ca="1" t="shared" si="26"/>
        <v>0.999999981487935</v>
      </c>
      <c r="AN162" s="70">
        <f ca="1">Wwp+(Wfc-Wwp)*IF((AU162+AV162)&gt;0,(TEW-(AG162*AU162+AH162*AV162)/(AU162+AV162))/TEW,(TEW-(AG162+AH162)/2)/TEW)</f>
        <v>0.371329312729495</v>
      </c>
      <c r="AO162" s="70">
        <f ca="1">Wwp+(Wfc-Wwp)*(R162-AI162)/R162</f>
        <v>0.375346420111668</v>
      </c>
      <c r="AP162" s="70">
        <f ca="1">Wwp+(Wfc-Wwp)*(S162-AJ162)/S162</f>
        <v>0.399999997593432</v>
      </c>
      <c r="AQ162" s="70"/>
      <c r="AR162" s="70"/>
      <c r="AS162" s="70"/>
      <c r="AT162" s="70"/>
      <c r="AU162" s="70">
        <f ca="1">MIN((1-G162),fw)</f>
        <v>0.110666666666667</v>
      </c>
      <c r="AV162" s="70">
        <f ca="1" t="shared" si="27"/>
        <v>0</v>
      </c>
      <c r="AW162" s="70">
        <f ca="1">MIN((TEW-Y162)/(TEW-REW),1)</f>
        <v>0.103195013773195</v>
      </c>
      <c r="AX162" s="70">
        <f ca="1">MIN((TEW-Z162)/(TEW-REW),1)</f>
        <v>0.109553545951189</v>
      </c>
      <c r="AY162" s="70">
        <f ca="1">IF((AU162*(TEW-Y162))&gt;0,1/(1+((AV162*(TEW-Z162))/(AU162*(TEW-Y162)))),0)</f>
        <v>1</v>
      </c>
      <c r="AZ162" s="70">
        <f ca="1">MIN((AY162*AW162*(Kcmax-H162)),AU162*Kcmax)</f>
        <v>0.0152170762523466</v>
      </c>
      <c r="BA162" s="70">
        <f ca="1">MIN(((1-AY162)*AX162*(Kcmax-H162)),AV162*Kcmax)</f>
        <v>0</v>
      </c>
      <c r="BB162" s="70">
        <f ca="1" t="shared" si="28"/>
        <v>0.0292928717857671</v>
      </c>
      <c r="BC162" s="70">
        <f ca="1">MIN((R162-AA162)/(R162*(1-(p+0.04*(5-I161)))),1)</f>
        <v>1</v>
      </c>
      <c r="BD162" s="10">
        <f ca="1" t="shared" si="29"/>
        <v>1.92989062816884</v>
      </c>
      <c r="BE162" s="70">
        <f ca="1">MIN(IF((1-AA162/R162)&gt;0,(1-Y162/TEW)/(1-AA162/R162)*(Ze/P162)^0.6,0),1)*BC162*H162*B162</f>
        <v>0.773007347621915</v>
      </c>
      <c r="BF162" s="70">
        <f ca="1">MIN(IF((1-AA162/R162)&gt;0,(1-Z162/TEW)/(1-AA162/R162)*(Ze/P162)^0.6,0),1)*BC162*H162*B162</f>
        <v>0.820637479291673</v>
      </c>
      <c r="BH162" s="10">
        <f ca="1" t="shared" si="30"/>
        <v>0.159061141293882</v>
      </c>
      <c r="BI162" s="10">
        <f ca="1">IF(F162&lt;&gt;"",(Moy_Etobs-F162)^2,"")</f>
        <v>0.0023535861321503</v>
      </c>
    </row>
    <row r="163" spans="1:61">
      <c r="A163" s="38">
        <v>39156</v>
      </c>
      <c r="B163" s="10">
        <v>2.178</v>
      </c>
      <c r="C163" s="39">
        <v>0</v>
      </c>
      <c r="D163">
        <v>0.82</v>
      </c>
      <c r="E163" s="39">
        <v>0</v>
      </c>
      <c r="F163" s="10">
        <v>2.1282912</v>
      </c>
      <c r="G163" s="10">
        <f ca="1">MIN(MAX(IF(AND(Durpla&gt;ROW()-MATCH(NDVImax,INDEX(D:D,Lig_min,1):INDEX(D:D,Lig_max,1),0)-Lig_min+1,ROW()-MATCH(NDVImax,INDEX(D:D,Lig_min,1):INDEX(D:D,Lig_max,1),0)-Lig_min+1&gt;0,D163*a_fc+b_fc&gt;fc_fin),NDVImax*a_fc+b_fc,D163*a_fc+b_fc),0),1)</f>
        <v>0.893333333333333</v>
      </c>
      <c r="H163" s="55">
        <f>MIN(MAX(D163*a_kcb+b_kcb,0),Kcmax)</f>
        <v>1.00704976410999</v>
      </c>
      <c r="I163" s="70">
        <f ca="1" t="shared" si="22"/>
        <v>2.22424229610088</v>
      </c>
      <c r="O163" s="55"/>
      <c r="P163" s="35">
        <f ca="1">IF(ROW()-MATCH(NDVImax,INDEX(D:D,Lig_min,1):INDEX(D:D,Lig_max,1),0)-Lig_min+1&gt;0,MAX(MIN(Zr_min+MAX(INDEX(G:G,Lig_min,1):INDEX(G:G,Lig_max,1))/MAX(MAX(INDEX(G:G,Lig_min,1):INDEX(G:G,Lig_max,1)),Max_fc_pour_Zrmax)*(Zr_max-Zr_min),Zr_max),Ze+0.001),MAX(MIN(Zr_min+G163/MAX(MAX(INDEX(G:G,Lig_min,1):INDEX(G:G,Lig_max,1)),Max_fc_pour_Zrmax)*(Zr_max-Zr_min),Zr_max),Ze+0.001))</f>
        <v>545.363422256346</v>
      </c>
      <c r="Q163" s="35">
        <f ca="1">IF(Z_sol&gt;0,Z_sol-P163,0.1)</f>
        <v>68.5111288080876</v>
      </c>
      <c r="R163" s="35">
        <f ca="1">(Wfc-Wwp)*P163</f>
        <v>70.897244893325</v>
      </c>
      <c r="S163" s="35">
        <f ca="1">(Wfc-Wwp)*Q163</f>
        <v>8.90644674505139</v>
      </c>
      <c r="T163" s="99">
        <f ca="1" t="shared" si="31"/>
        <v>7.30551166027281</v>
      </c>
      <c r="U163" s="99">
        <f ca="1" t="shared" si="32"/>
        <v>5.43359681475508</v>
      </c>
      <c r="V163" s="99">
        <f ca="1">IF(P163&gt;P162,IF(Q163&gt;1,MAX(AI162+(Wfc-Wwp)*(P163-P162)*AJ162/S162,0),AI162/P162*P163),MAX(AI162+(Wfc-Wwp)*(P163-P162)*AI162/R162,0))</f>
        <v>13.3987571366763</v>
      </c>
      <c r="W163" s="99">
        <f ca="1">IF(S163&gt;1,IF(P163&gt;P162,MAX(AJ162-(Wfc-Wwp)*(P163-P162)*AJ162/S162,0),MAX(AJ162-(Wfc-Wwp)*(P163-P162)*AI162/R162,0)),0)</f>
        <v>1.64876721531732e-7</v>
      </c>
      <c r="X163" s="99">
        <f ca="1">IF(AND(OR(AND(dec_vide_TAW&lt;0,V163&gt;R163*(p+0.04*(5-I162))),AND(dec_vide_TAW&gt;0,V163&gt;R163*dec_vide_TAW)),H163&gt;MAX(INDEX(H:H,Lig_min,1):INDEX(H:H,ROW(X163),1))*Kcbmax_stop_irrig*IF(ROW(X163)-lig_kcbmax&gt;0,1,0),MIN(INDEX(H:H,ROW(X163),1):INDEX(H:H,lig_kcbmax,1))&gt;Kcbmin_start_irrig),MIN(MAX(V163-E163*Irri_man-C163,0),Lame_max),0)</f>
        <v>0</v>
      </c>
      <c r="Y163" s="99">
        <f ca="1">MIN(MAX(T163-C163-IF(fw&gt;0,X163/fw*Irri_auto+E163/fw*Irri_man,0),0),TEW)</f>
        <v>7.30551166027281</v>
      </c>
      <c r="Z163" s="99">
        <f ca="1">MIN(MAX(U163-C163,0),TEW)</f>
        <v>5.43359681475508</v>
      </c>
      <c r="AA163" s="99">
        <f ca="1">MIN(MAX(V163-C163-(X163*Irri_auto+E163*Irri_man),0),R163)</f>
        <v>13.3987571366763</v>
      </c>
      <c r="AB163" s="99">
        <f ca="1">MIN(MAX(W163+MIN(V163-C163-(X163*Irri_auto+E163*Irri_man),0),0),S163)</f>
        <v>1.64876721531732e-7</v>
      </c>
      <c r="AC163" s="99">
        <f ca="1">-MIN(W163+MIN(V163-C163-(X163*Irri_auto+E163*Irri_man),0),0)</f>
        <v>0</v>
      </c>
      <c r="AD163" s="39">
        <f ca="1">IF(((R163-AA163)/P163-((Wfc-Wwp)*Ze-Y163)/Ze)/Wfc*DiffE&lt;0,MAX(((R163-AA163)/P163-((Wfc-Wwp)*Ze-Y163)/Ze)/Wfc*DiffE,(R163*Ze-((Wfc-Wwp)*Ze-Y163-AA163)*P163)/(P163+Ze)-AA163),MIN(((R163-AA163)/P163-((Wfc-Wwp)*Ze-Y163)/Ze)/Wfc*DiffE,(R163*Ze-((Wfc-Wwp)*Ze-Y163-AA163)*P163)/(P163+Ze)-AA163))</f>
        <v>8.46890020141468e-8</v>
      </c>
      <c r="AE163" s="39">
        <f ca="1">IF(((R163-AA163)/P163-((Wfc-Wwp)*Ze-Z163)/Ze)/Wfc*DiffE&lt;0,MAX(((R163-AA163)/P163-((Wfc-Wwp)*Ze-Z163)/Ze)/Wfc*DiffE,(R163*Ze-((Wfc-Wwp)*Ze-Z163-AA163)*P163)/(P163+Ze)-AA163),MIN(((R163-AA163)/P163-((Wfc-Wwp)*Ze-Z163)/Ze)/Wfc*DiffE,(R163*Ze-((Wfc-Wwp)*Ze-Z163-AA163)*P163)/(P163+Ze)-AA163))</f>
        <v>4.72507051037923e-8</v>
      </c>
      <c r="AF163" s="39">
        <f ca="1">IF(((S163-AB163)/Q163-(R163-AA163)/P163)/Wfc*DiffR&lt;0,MAX(((S163-AB163)/Q163-(R163-AA163)/P163)/Wfc*DiffR,(S163*P163-(R163-AA163-AB163)*Q163)/(P163+Q163)-AB163),MIN(((S163-AB163)/Q163-(R163-AA163)/P163)/Wfc*DiffR,(S163*P163-(R163-AA163-AB163)*Q163)/(P163+Q163)-AB163))</f>
        <v>6.14212251748882e-8</v>
      </c>
      <c r="AG163" s="99">
        <f ca="1">MIN(MAX(Y163+IF(AU163&gt;0,B163*AZ163/AU163,0)+BE163-AD163,0),TEW)</f>
        <v>8.46606514825767</v>
      </c>
      <c r="AH163" s="99">
        <f ca="1">MIN(MAX(Z163+IF(AV163&gt;0,B163*BA163/AV163,0)+BF163-AE163,0),TEW)</f>
        <v>6.36772225840561</v>
      </c>
      <c r="AI163" s="99">
        <f ca="1" t="shared" si="23"/>
        <v>15.6229993713559</v>
      </c>
      <c r="AJ163" s="99">
        <f ca="1" t="shared" si="24"/>
        <v>2.26297946706621e-7</v>
      </c>
      <c r="AK163" s="70">
        <f ca="1">IF((AU163+AV163)&gt;0,(TEW-(AG163*AU163+AH163*AV163)/(AU163+AV163))/TEW,(TEW-(AG163+AH163)/2)/TEW)</f>
        <v>0.74442067476958</v>
      </c>
      <c r="AL163" s="70">
        <f ca="1" t="shared" si="25"/>
        <v>0.779638836532182</v>
      </c>
      <c r="AM163" s="70">
        <f ca="1" t="shared" si="26"/>
        <v>0.999999974591669</v>
      </c>
      <c r="AN163" s="70">
        <f ca="1">Wwp+(Wfc-Wwp)*IF((AU163+AV163)&gt;0,(TEW-(AG163*AU163+AH163*AV163)/(AU163+AV163))/TEW,(TEW-(AG163+AH163)/2)/TEW)</f>
        <v>0.366774687720045</v>
      </c>
      <c r="AO163" s="70">
        <f ca="1">Wwp+(Wfc-Wwp)*(R163-AI163)/R163</f>
        <v>0.371353048749184</v>
      </c>
      <c r="AP163" s="70">
        <f ca="1">Wwp+(Wfc-Wwp)*(S163-AJ163)/S163</f>
        <v>0.399999996696917</v>
      </c>
      <c r="AQ163" s="70"/>
      <c r="AR163" s="70"/>
      <c r="AS163" s="70"/>
      <c r="AT163" s="70"/>
      <c r="AU163" s="70">
        <f ca="1">MIN((1-G163),fw)</f>
        <v>0.106666666666667</v>
      </c>
      <c r="AV163" s="70">
        <f ca="1" t="shared" si="27"/>
        <v>0</v>
      </c>
      <c r="AW163" s="70">
        <f ca="1">MIN((TEW-Y163)/(TEW-REW),1)</f>
        <v>0.0992077887189987</v>
      </c>
      <c r="AX163" s="70">
        <f ca="1">MIN((TEW-Z163)/(TEW-REW),1)</f>
        <v>0.106400360858716</v>
      </c>
      <c r="AY163" s="70">
        <f ca="1">IF((AU163*(TEW-Y163))&gt;0,1/(1+((AV163*(TEW-Z163))/(AU163*(TEW-Y163)))),0)</f>
        <v>1</v>
      </c>
      <c r="AZ163" s="70">
        <f ca="1">MIN((AY163*AW163*(Kcmax-H163)),AU163*Kcmax)</f>
        <v>0.0141817767995073</v>
      </c>
      <c r="BA163" s="70">
        <f ca="1">MIN(((1-AY163)*AX163*(Kcmax-H163)),AV163*Kcmax)</f>
        <v>0</v>
      </c>
      <c r="BB163" s="70">
        <f ca="1" t="shared" si="28"/>
        <v>0.0308879098693268</v>
      </c>
      <c r="BC163" s="70">
        <f ca="1">MIN((R163-AA163)/(R163*(1-(p+0.04*(5-I162)))),1)</f>
        <v>1</v>
      </c>
      <c r="BD163" s="10">
        <f ca="1" t="shared" si="29"/>
        <v>2.19335438623155</v>
      </c>
      <c r="BE163" s="70">
        <f ca="1">MIN(IF((1-AA163/R163)&gt;0,(1-Y163/TEW)/(1-AA163/R163)*(Ze/P163)^0.6,0),1)*BC163*H163*B163</f>
        <v>0.870979417648923</v>
      </c>
      <c r="BF163" s="70">
        <f ca="1">MIN(IF((1-AA163/R163)&gt;0,(1-Z163/TEW)/(1-AA163/R163)*(Ze/P163)^0.6,0),1)*BC163*H163*B163</f>
        <v>0.934125490901226</v>
      </c>
      <c r="BH163" s="10">
        <f ca="1" t="shared" si="30"/>
        <v>0.00920661284296066</v>
      </c>
      <c r="BI163" s="10">
        <f ca="1">IF(F163&lt;&gt;"",(Moy_Etobs-F163)^2,"")</f>
        <v>0.269795710487254</v>
      </c>
    </row>
    <row r="164" spans="1:61">
      <c r="A164" s="38">
        <v>39157</v>
      </c>
      <c r="B164" s="10">
        <v>1.841</v>
      </c>
      <c r="C164" s="39">
        <v>0</v>
      </c>
      <c r="D164">
        <v>0.823</v>
      </c>
      <c r="E164" s="39">
        <v>0</v>
      </c>
      <c r="F164" s="10">
        <v>1.6218234</v>
      </c>
      <c r="G164" s="10">
        <f ca="1">MIN(MAX(IF(AND(Durpla&gt;ROW()-MATCH(NDVImax,INDEX(D:D,Lig_min,1):INDEX(D:D,Lig_max,1),0)-Lig_min+1,ROW()-MATCH(NDVImax,INDEX(D:D,Lig_min,1):INDEX(D:D,Lig_max,1),0)-Lig_min+1&gt;0,D164*a_fc+b_fc&gt;fc_fin),NDVImax*a_fc+b_fc,D164*a_fc+b_fc),0),1)</f>
        <v>0.897333333333333</v>
      </c>
      <c r="H164" s="55">
        <f>MIN(MAX(D164*a_kcb+b_kcb,0),Kcmax)</f>
        <v>1.01155894215824</v>
      </c>
      <c r="I164" s="70">
        <f ca="1" t="shared" si="22"/>
        <v>1.88642856752293</v>
      </c>
      <c r="O164" s="55"/>
      <c r="P164" s="35">
        <f ca="1">IF(ROW()-MATCH(NDVImax,INDEX(D:D,Lig_min,1):INDEX(D:D,Lig_max,1),0)-Lig_min+1&gt;0,MAX(MIN(Zr_min+MAX(INDEX(G:G,Lig_min,1):INDEX(G:G,Lig_max,1))/MAX(MAX(INDEX(G:G,Lig_min,1):INDEX(G:G,Lig_max,1)),Max_fc_pour_Zrmax)*(Zr_max-Zr_min),Zr_max),Ze+0.001),MAX(MIN(Zr_min+G164/MAX(MAX(INDEX(G:G,Lig_min,1):INDEX(G:G,Lig_max,1)),Max_fc_pour_Zrmax)*(Zr_max-Zr_min),Zr_max),Ze+0.001))</f>
        <v>547.245646535106</v>
      </c>
      <c r="Q164" s="35">
        <f ca="1">IF(Z_sol&gt;0,Z_sol-P164,0.1)</f>
        <v>66.6289045293279</v>
      </c>
      <c r="R164" s="35">
        <f ca="1">(Wfc-Wwp)*P164</f>
        <v>71.1419340495638</v>
      </c>
      <c r="S164" s="35">
        <f ca="1">(Wfc-Wwp)*Q164</f>
        <v>8.66175758881263</v>
      </c>
      <c r="T164" s="99">
        <f ca="1" t="shared" si="31"/>
        <v>8.46606514825767</v>
      </c>
      <c r="U164" s="99">
        <f ca="1" t="shared" si="32"/>
        <v>6.36772225840561</v>
      </c>
      <c r="V164" s="99">
        <f ca="1">IF(P164&gt;P163,IF(Q164&gt;1,MAX(AI163+(Wfc-Wwp)*(P164-P163)*AJ163/S163,0),AI163/P163*P164),MAX(AI163+(Wfc-Wwp)*(P164-P163)*AI163/R163,0))</f>
        <v>15.6229993775731</v>
      </c>
      <c r="W164" s="99">
        <f ca="1">IF(S164&gt;1,IF(P164&gt;P163,MAX(AJ163-(Wfc-Wwp)*(P164-P163)*AJ163/S163,0),MAX(AJ163-(Wfc-Wwp)*(P164-P163)*AI163/R163,0)),0)</f>
        <v>2.20080803638991e-7</v>
      </c>
      <c r="X164" s="99">
        <f ca="1">IF(AND(OR(AND(dec_vide_TAW&lt;0,V164&gt;R164*(p+0.04*(5-I163))),AND(dec_vide_TAW&gt;0,V164&gt;R164*dec_vide_TAW)),H164&gt;MAX(INDEX(H:H,Lig_min,1):INDEX(H:H,ROW(X164),1))*Kcbmax_stop_irrig*IF(ROW(X164)-lig_kcbmax&gt;0,1,0),MIN(INDEX(H:H,ROW(X164),1):INDEX(H:H,lig_kcbmax,1))&gt;Kcbmin_start_irrig),MIN(MAX(V164-E164*Irri_man-C164,0),Lame_max),0)</f>
        <v>0</v>
      </c>
      <c r="Y164" s="99">
        <f ca="1">MIN(MAX(T164-C164-IF(fw&gt;0,X164/fw*Irri_auto+E164/fw*Irri_man,0),0),TEW)</f>
        <v>8.46606514825767</v>
      </c>
      <c r="Z164" s="99">
        <f ca="1">MIN(MAX(U164-C164,0),TEW)</f>
        <v>6.36772225840561</v>
      </c>
      <c r="AA164" s="99">
        <f ca="1">MIN(MAX(V164-C164-(X164*Irri_auto+E164*Irri_man),0),R164)</f>
        <v>15.6229993775731</v>
      </c>
      <c r="AB164" s="99">
        <f ca="1">MIN(MAX(W164+MIN(V164-C164-(X164*Irri_auto+E164*Irri_man),0),0),S164)</f>
        <v>2.20080803638991e-7</v>
      </c>
      <c r="AC164" s="99">
        <f ca="1">-MIN(W164+MIN(V164-C164-(X164*Irri_auto+E164*Irri_man),0),0)</f>
        <v>0</v>
      </c>
      <c r="AD164" s="39">
        <f ca="1">IF(((R164-AA164)/P164-((Wfc-Wwp)*Ze-Y164)/Ze)/Wfc*DiffE&lt;0,MAX(((R164-AA164)/P164-((Wfc-Wwp)*Ze-Y164)/Ze)/Wfc*DiffE,(R164*Ze-((Wfc-Wwp)*Ze-Y164-AA164)*P164)/(P164+Ze)-AA164),MIN(((R164-AA164)/P164-((Wfc-Wwp)*Ze-Y164)/Ze)/Wfc*DiffE,(R164*Ze-((Wfc-Wwp)*Ze-Y164-AA164)*P164)/(P164+Ze)-AA164))</f>
        <v>9.79502492322899e-8</v>
      </c>
      <c r="AE164" s="39">
        <f ca="1">IF(((R164-AA164)/P164-((Wfc-Wwp)*Ze-Z164)/Ze)/Wfc*DiffE&lt;0,MAX(((R164-AA164)/P164-((Wfc-Wwp)*Ze-Z164)/Ze)/Wfc*DiffE,(R164*Ze-((Wfc-Wwp)*Ze-Z164-AA164)*P164)/(P164+Ze)-AA164),MIN(((R164-AA164)/P164-((Wfc-Wwp)*Ze-Z164)/Ze)/Wfc*DiffE,(R164*Ze-((Wfc-Wwp)*Ze-Z164-AA164)*P164)/(P164+Ze)-AA164))</f>
        <v>5.59833914352486e-8</v>
      </c>
      <c r="AF164" s="39">
        <f ca="1">IF(((S164-AB164)/Q164-(R164-AA164)/P164)/Wfc*DiffR&lt;0,MAX(((S164-AB164)/Q164-(R164-AA164)/P164)/Wfc*DiffR,(S164*P164-(R164-AA164-AB164)*Q164)/(P164+Q164)-AB164),MIN(((S164-AB164)/Q164-(R164-AA164)/P164)/Wfc*DiffR,(S164*P164-(R164-AA164-AB164)*Q164)/(P164+Q164)-AB164))</f>
        <v>7.1371045475156e-8</v>
      </c>
      <c r="AG164" s="99">
        <f ca="1">MIN(MAX(Y164+IF(AU164&gt;0,B164*AZ164/AU164,0)+BE164-AD164,0),TEW)</f>
        <v>9.43373935808904</v>
      </c>
      <c r="AH164" s="99">
        <f ca="1">MIN(MAX(Z164+IF(AV164&gt;0,B164*BA164/AV164,0)+BF164-AE164,0),TEW)</f>
        <v>7.16251181775969</v>
      </c>
      <c r="AI164" s="99">
        <f ca="1" t="shared" si="23"/>
        <v>17.509427873725</v>
      </c>
      <c r="AJ164" s="99">
        <f ca="1" t="shared" si="24"/>
        <v>2.91451849114147e-7</v>
      </c>
      <c r="AK164" s="70">
        <f ca="1">IF((AU164+AV164)&gt;0,(TEW-(AG164*AU164+AH164*AV164)/(AU164+AV164))/TEW,(TEW-(AG164+AH164)/2)/TEW)</f>
        <v>0.715207868435048</v>
      </c>
      <c r="AL164" s="70">
        <f ca="1" t="shared" si="25"/>
        <v>0.753880350490242</v>
      </c>
      <c r="AM164" s="70">
        <f ca="1" t="shared" si="26"/>
        <v>0.999999966351881</v>
      </c>
      <c r="AN164" s="70">
        <f ca="1">Wwp+(Wfc-Wwp)*IF((AU164+AV164)&gt;0,(TEW-(AG164*AU164+AH164*AV164)/(AU164+AV164))/TEW,(TEW-(AG164+AH164)/2)/TEW)</f>
        <v>0.362977022896556</v>
      </c>
      <c r="AO164" s="70">
        <f ca="1">Wwp+(Wfc-Wwp)*(R164-AI164)/R164</f>
        <v>0.368004445563731</v>
      </c>
      <c r="AP164" s="70">
        <f ca="1">Wwp+(Wfc-Wwp)*(S164-AJ164)/S164</f>
        <v>0.399999995625745</v>
      </c>
      <c r="AQ164" s="70"/>
      <c r="AR164" s="70"/>
      <c r="AS164" s="70"/>
      <c r="AT164" s="70"/>
      <c r="AU164" s="70">
        <f ca="1">MIN((1-G164),fw)</f>
        <v>0.102666666666667</v>
      </c>
      <c r="AV164" s="70">
        <f ca="1" t="shared" si="27"/>
        <v>0</v>
      </c>
      <c r="AW164" s="70">
        <f ca="1">MIN((TEW-Y164)/(TEW-REW),1)</f>
        <v>0.0947485235423164</v>
      </c>
      <c r="AX164" s="70">
        <f ca="1">MIN((TEW-Z164)/(TEW-REW),1)</f>
        <v>0.102811113913488</v>
      </c>
      <c r="AY164" s="70">
        <f ca="1">IF((AU164*(TEW-Y164))&gt;0,1/(1+((AV164*(TEW-Z164))/(AU164*(TEW-Y164)))),0)</f>
        <v>1</v>
      </c>
      <c r="AZ164" s="70">
        <f ca="1">MIN((AY164*AW164*(Kcmax-H164)),AU164*Kcmax)</f>
        <v>0.013117085828143</v>
      </c>
      <c r="BA164" s="70">
        <f ca="1">MIN(((1-AY164)*AX164*(Kcmax-H164)),AV164*Kcmax)</f>
        <v>0</v>
      </c>
      <c r="BB164" s="70">
        <f ca="1" t="shared" si="28"/>
        <v>0.0241485550096112</v>
      </c>
      <c r="BC164" s="70">
        <f ca="1">MIN((R164-AA164)/(R164*(1-(p+0.04*(5-I163)))),1)</f>
        <v>1</v>
      </c>
      <c r="BD164" s="10">
        <f ca="1" t="shared" si="29"/>
        <v>1.86228001251332</v>
      </c>
      <c r="BE164" s="70">
        <f ca="1">MIN(IF((1-AA164/R164)&gt;0,(1-Y164/TEW)/(1-AA164/R164)*(Ze/P164)^0.6,0),1)*BC164*H164*B164</f>
        <v>0.732461109636052</v>
      </c>
      <c r="BF164" s="70">
        <f ca="1">MIN(IF((1-AA164/R164)&gt;0,(1-Z164/TEW)/(1-AA164/R164)*(Ze/P164)^0.6,0),1)*BC164*H164*B164</f>
        <v>0.79478961533748</v>
      </c>
      <c r="BH164" s="10">
        <f ca="1" t="shared" si="30"/>
        <v>0.0700158946798404</v>
      </c>
      <c r="BI164" s="10">
        <f ca="1">IF(F164&lt;&gt;"",(Moy_Etobs-F164)^2,"")</f>
        <v>0.000167723930273639</v>
      </c>
    </row>
    <row r="165" spans="1:61">
      <c r="A165" s="38">
        <v>39158</v>
      </c>
      <c r="B165" s="10">
        <v>2.309</v>
      </c>
      <c r="C165" s="39">
        <v>0</v>
      </c>
      <c r="D165">
        <v>0.827</v>
      </c>
      <c r="E165" s="39">
        <v>0</v>
      </c>
      <c r="F165" s="10">
        <v>2.342664</v>
      </c>
      <c r="G165" s="10">
        <f ca="1">MIN(MAX(IF(AND(Durpla&gt;ROW()-MATCH(NDVImax,INDEX(D:D,Lig_min,1):INDEX(D:D,Lig_max,1),0)-Lig_min+1,ROW()-MATCH(NDVImax,INDEX(D:D,Lig_min,1):INDEX(D:D,Lig_max,1),0)-Lig_min+1&gt;0,D165*a_fc+b_fc&gt;fc_fin),NDVImax*a_fc+b_fc,D165*a_fc+b_fc),0),1)</f>
        <v>0.902666666666667</v>
      </c>
      <c r="H165" s="55">
        <f>MIN(MAX(D165*a_kcb+b_kcb,0),Kcmax)</f>
        <v>1.01757117955591</v>
      </c>
      <c r="I165" s="70">
        <f ca="1" t="shared" si="22"/>
        <v>2.37740695144094</v>
      </c>
      <c r="O165" s="55"/>
      <c r="P165" s="35">
        <f ca="1">IF(ROW()-MATCH(NDVImax,INDEX(D:D,Lig_min,1):INDEX(D:D,Lig_max,1),0)-Lig_min+1&gt;0,MAX(MIN(Zr_min+MAX(INDEX(G:G,Lig_min,1):INDEX(G:G,Lig_max,1))/MAX(MAX(INDEX(G:G,Lig_min,1):INDEX(G:G,Lig_max,1)),Max_fc_pour_Zrmax)*(Zr_max-Zr_min),Zr_max),Ze+0.001),MAX(MIN(Zr_min+G165/MAX(MAX(INDEX(G:G,Lig_min,1):INDEX(G:G,Lig_max,1)),Max_fc_pour_Zrmax)*(Zr_max-Zr_min),Zr_max),Ze+0.001))</f>
        <v>549.755278906786</v>
      </c>
      <c r="Q165" s="35">
        <f ca="1">IF(Z_sol&gt;0,Z_sol-P165,0.1)</f>
        <v>64.1192721576482</v>
      </c>
      <c r="R165" s="35">
        <f ca="1">(Wfc-Wwp)*P165</f>
        <v>71.4681862578822</v>
      </c>
      <c r="S165" s="35">
        <f ca="1">(Wfc-Wwp)*Q165</f>
        <v>8.33550538049427</v>
      </c>
      <c r="T165" s="99">
        <f ca="1" t="shared" si="31"/>
        <v>9.43373935808904</v>
      </c>
      <c r="U165" s="99">
        <f ca="1" t="shared" si="32"/>
        <v>7.16251181775969</v>
      </c>
      <c r="V165" s="99">
        <f ca="1">IF(P165&gt;P164,IF(Q165&gt;1,MAX(AI164+(Wfc-Wwp)*(P165-P164)*AJ164/S164,0),AI164/P164*P165),MAX(AI164+(Wfc-Wwp)*(P165-P164)*AI164/R164,0))</f>
        <v>17.5094278847027</v>
      </c>
      <c r="W165" s="99">
        <f ca="1">IF(S165&gt;1,IF(P165&gt;P164,MAX(AJ164-(Wfc-Wwp)*(P165-P164)*AJ164/S164,0),MAX(AJ164-(Wfc-Wwp)*(P165-P164)*AI164/R164,0)),0)</f>
        <v>2.80474076021678e-7</v>
      </c>
      <c r="X165" s="99">
        <f ca="1">IF(AND(OR(AND(dec_vide_TAW&lt;0,V165&gt;R165*(p+0.04*(5-I164))),AND(dec_vide_TAW&gt;0,V165&gt;R165*dec_vide_TAW)),H165&gt;MAX(INDEX(H:H,Lig_min,1):INDEX(H:H,ROW(X165),1))*Kcbmax_stop_irrig*IF(ROW(X165)-lig_kcbmax&gt;0,1,0),MIN(INDEX(H:H,ROW(X165),1):INDEX(H:H,lig_kcbmax,1))&gt;Kcbmin_start_irrig),MIN(MAX(V165-E165*Irri_man-C165,0),Lame_max),0)</f>
        <v>0</v>
      </c>
      <c r="Y165" s="99">
        <f ca="1">MIN(MAX(T165-C165-IF(fw&gt;0,X165/fw*Irri_auto+E165/fw*Irri_man,0),0),TEW)</f>
        <v>9.43373935808904</v>
      </c>
      <c r="Z165" s="99">
        <f ca="1">MIN(MAX(U165-C165,0),TEW)</f>
        <v>7.16251181775969</v>
      </c>
      <c r="AA165" s="99">
        <f ca="1">MIN(MAX(V165-C165-(X165*Irri_auto+E165*Irri_man),0),R165)</f>
        <v>17.5094278847027</v>
      </c>
      <c r="AB165" s="99">
        <f ca="1">MIN(MAX(W165+MIN(V165-C165-(X165*Irri_auto+E165*Irri_man),0),0),S165)</f>
        <v>2.80474076021678e-7</v>
      </c>
      <c r="AC165" s="99">
        <f ca="1">-MIN(W165+MIN(V165-C165-(X165*Irri_auto+E165*Irri_man),0),0)</f>
        <v>0</v>
      </c>
      <c r="AD165" s="39">
        <f ca="1">IF(((R165-AA165)/P165-((Wfc-Wwp)*Ze-Y165)/Ze)/Wfc*DiffE&lt;0,MAX(((R165-AA165)/P165-((Wfc-Wwp)*Ze-Y165)/Ze)/Wfc*DiffE,(R165*Ze-((Wfc-Wwp)*Ze-Y165-AA165)*P165)/(P165+Ze)-AA165),MIN(((R165-AA165)/P165-((Wfc-Wwp)*Ze-Y165)/Ze)/Wfc*DiffE,(R165*Ze-((Wfc-Wwp)*Ze-Y165-AA165)*P165)/(P165+Ze)-AA165))</f>
        <v>1.09051050216857e-7</v>
      </c>
      <c r="AE165" s="39">
        <f ca="1">IF(((R165-AA165)/P165-((Wfc-Wwp)*Ze-Z165)/Ze)/Wfc*DiffE&lt;0,MAX(((R165-AA165)/P165-((Wfc-Wwp)*Ze-Z165)/Ze)/Wfc*DiffE,(R165*Ze-((Wfc-Wwp)*Ze-Z165-AA165)*P165)/(P165+Ze)-AA165),MIN(((R165-AA165)/P165-((Wfc-Wwp)*Ze-Z165)/Ze)/Wfc*DiffE,(R165*Ze-((Wfc-Wwp)*Ze-Z165-AA165)*P165)/(P165+Ze)-AA165))</f>
        <v>6.36264994102706e-8</v>
      </c>
      <c r="AF165" s="39">
        <f ca="1">IF(((S165-AB165)/Q165-(R165-AA165)/P165)/Wfc*DiffR&lt;0,MAX(((S165-AB165)/Q165-(R165-AA165)/P165)/Wfc*DiffR,(S165*P165-(R165-AA165-AB165)*Q165)/(P165+Q165)-AB165),MIN(((S165-AB165)/Q165-(R165-AA165)/P165)/Wfc*DiffR,(S165*P165-(R165-AA165-AB165)*Q165)/(P165+Q165)-AB165))</f>
        <v>7.96237260092847e-8</v>
      </c>
      <c r="AG165" s="99">
        <f ca="1">MIN(MAX(Y165+IF(AU165&gt;0,B165*AZ165/AU165,0)+BE165-AD165,0),TEW)</f>
        <v>10.6349166588762</v>
      </c>
      <c r="AH165" s="99">
        <f ca="1">MIN(MAX(Z165+IF(AV165&gt;0,B165*BA165/AV165,0)+BF165-AE165,0),TEW)</f>
        <v>8.16545032020661</v>
      </c>
      <c r="AI165" s="99">
        <f ca="1" t="shared" si="23"/>
        <v>19.88683475652</v>
      </c>
      <c r="AJ165" s="99">
        <f ca="1" t="shared" si="24"/>
        <v>3.60097802030962e-7</v>
      </c>
      <c r="AK165" s="70">
        <f ca="1">IF((AU165+AV165)&gt;0,(TEW-(AG165*AU165+AH165*AV165)/(AU165+AV165))/TEW,(TEW-(AG165+AH165)/2)/TEW)</f>
        <v>0.678945912184868</v>
      </c>
      <c r="AL165" s="70">
        <f ca="1" t="shared" si="25"/>
        <v>0.721738639277044</v>
      </c>
      <c r="AM165" s="70">
        <f ca="1" t="shared" si="26"/>
        <v>0.999999956799524</v>
      </c>
      <c r="AN165" s="70">
        <f ca="1">Wwp+(Wfc-Wwp)*IF((AU165+AV165)&gt;0,(TEW-(AG165*AU165+AH165*AV165)/(AU165+AV165))/TEW,(TEW-(AG165+AH165)/2)/TEW)</f>
        <v>0.358262968584033</v>
      </c>
      <c r="AO165" s="70">
        <f ca="1">Wwp+(Wfc-Wwp)*(R165-AI165)/R165</f>
        <v>0.363826023106016</v>
      </c>
      <c r="AP165" s="70">
        <f ca="1">Wwp+(Wfc-Wwp)*(S165-AJ165)/S165</f>
        <v>0.399999994383938</v>
      </c>
      <c r="AQ165" s="70"/>
      <c r="AR165" s="70"/>
      <c r="AS165" s="70"/>
      <c r="AT165" s="70"/>
      <c r="AU165" s="70">
        <f ca="1">MIN((1-G165),fw)</f>
        <v>0.0973333333333335</v>
      </c>
      <c r="AV165" s="70">
        <f ca="1" t="shared" si="27"/>
        <v>0</v>
      </c>
      <c r="AW165" s="70">
        <f ca="1">MIN((TEW-Y165)/(TEW-REW),1)</f>
        <v>0.0910303701345255</v>
      </c>
      <c r="AX165" s="70">
        <f ca="1">MIN((TEW-Z165)/(TEW-REW),1)</f>
        <v>0.0997572457018879</v>
      </c>
      <c r="AY165" s="70">
        <f ca="1">IF((AU165*(TEW-Y165))&gt;0,1/(1+((AV165*(TEW-Z165))/(AU165*(TEW-Y165)))),0)</f>
        <v>1</v>
      </c>
      <c r="AZ165" s="70">
        <f ca="1">MIN((AY165*AW165*(Kcmax-H165)),AU165*Kcmax)</f>
        <v>0.0120550445415038</v>
      </c>
      <c r="BA165" s="70">
        <f ca="1">MIN(((1-AY165)*AX165*(Kcmax-H165)),AV165*Kcmax)</f>
        <v>0</v>
      </c>
      <c r="BB165" s="70">
        <f ca="1" t="shared" si="28"/>
        <v>0.0278350978463323</v>
      </c>
      <c r="BC165" s="70">
        <f ca="1">MIN((R165-AA165)/(R165*(1-(p+0.04*(5-I164)))),1)</f>
        <v>1</v>
      </c>
      <c r="BD165" s="10">
        <f ca="1" t="shared" si="29"/>
        <v>2.3495718535946</v>
      </c>
      <c r="BE165" s="70">
        <f ca="1">MIN(IF((1-AA165/R165)&gt;0,(1-Y165/TEW)/(1-AA165/R165)*(Ze/P165)^0.6,0),1)*BC165*H165*B165</f>
        <v>0.915200377170451</v>
      </c>
      <c r="BF165" s="70">
        <f ca="1">MIN(IF((1-AA165/R165)&gt;0,(1-Z165/TEW)/(1-AA165/R165)*(Ze/P165)^0.6,0),1)*BC165*H165*B165</f>
        <v>1.00293856607341</v>
      </c>
      <c r="BH165" s="10">
        <f ca="1" t="shared" si="30"/>
        <v>0.00120707267482729</v>
      </c>
      <c r="BI165" s="10">
        <f ca="1">IF(F165&lt;&gt;"",(Moy_Etobs-F165)^2,"")</f>
        <v>0.538449858921709</v>
      </c>
    </row>
    <row r="166" spans="1:61">
      <c r="A166" s="38">
        <v>39159</v>
      </c>
      <c r="B166" s="10">
        <v>1.007</v>
      </c>
      <c r="C166" s="39">
        <v>0.396</v>
      </c>
      <c r="D166">
        <v>0.83</v>
      </c>
      <c r="E166" s="39">
        <v>0</v>
      </c>
      <c r="F166" s="10">
        <v>1.195317</v>
      </c>
      <c r="G166" s="10">
        <f ca="1">MIN(MAX(IF(AND(Durpla&gt;ROW()-MATCH(NDVImax,INDEX(D:D,Lig_min,1):INDEX(D:D,Lig_max,1),0)-Lig_min+1,ROW()-MATCH(NDVImax,INDEX(D:D,Lig_min,1):INDEX(D:D,Lig_max,1),0)-Lig_min+1&gt;0,D166*a_fc+b_fc&gt;fc_fin),NDVImax*a_fc+b_fc,D166*a_fc+b_fc),0),1)</f>
        <v>0.906666666666667</v>
      </c>
      <c r="H166" s="55">
        <f>MIN(MAX(D166*a_kcb+b_kcb,0),Kcmax)</f>
        <v>1.02208035760417</v>
      </c>
      <c r="I166" s="70">
        <f ca="1" t="shared" si="22"/>
        <v>1.04056247877702</v>
      </c>
      <c r="O166" s="55"/>
      <c r="P166" s="35">
        <f ca="1">IF(ROW()-MATCH(NDVImax,INDEX(D:D,Lig_min,1):INDEX(D:D,Lig_max,1),0)-Lig_min+1&gt;0,MAX(MIN(Zr_min+MAX(INDEX(G:G,Lig_min,1):INDEX(G:G,Lig_max,1))/MAX(MAX(INDEX(G:G,Lig_min,1):INDEX(G:G,Lig_max,1)),Max_fc_pour_Zrmax)*(Zr_max-Zr_min),Zr_max),Ze+0.001),MAX(MIN(Zr_min+G166/MAX(MAX(INDEX(G:G,Lig_min,1):INDEX(G:G,Lig_max,1)),Max_fc_pour_Zrmax)*(Zr_max-Zr_min),Zr_max),Ze+0.001))</f>
        <v>551.637503185545</v>
      </c>
      <c r="Q166" s="35">
        <f ca="1">IF(Z_sol&gt;0,Z_sol-P166,0.1)</f>
        <v>62.2370478788886</v>
      </c>
      <c r="R166" s="35">
        <f ca="1">(Wfc-Wwp)*P166</f>
        <v>71.7128754141209</v>
      </c>
      <c r="S166" s="35">
        <f ca="1">(Wfc-Wwp)*Q166</f>
        <v>8.09081622425552</v>
      </c>
      <c r="T166" s="99">
        <f ca="1" t="shared" si="31"/>
        <v>10.6349166588762</v>
      </c>
      <c r="U166" s="99">
        <f ca="1" t="shared" si="32"/>
        <v>8.16545032020661</v>
      </c>
      <c r="V166" s="99">
        <f ca="1">IF(P166&gt;P165,IF(Q166&gt;1,MAX(AI165+(Wfc-Wwp)*(P166-P165)*AJ165/S165,0),AI165/P165*P166),MAX(AI165+(Wfc-Wwp)*(P166-P165)*AI165/R165,0))</f>
        <v>19.8868347670906</v>
      </c>
      <c r="W166" s="99">
        <f ca="1">IF(S166&gt;1,IF(P166&gt;P165,MAX(AJ165-(Wfc-Wwp)*(P166-P165)*AJ165/S165,0),MAX(AJ165-(Wfc-Wwp)*(P166-P165)*AI165/R165,0)),0)</f>
        <v>3.49527113953839e-7</v>
      </c>
      <c r="X166" s="99">
        <f ca="1">IF(AND(OR(AND(dec_vide_TAW&lt;0,V166&gt;R166*(p+0.04*(5-I165))),AND(dec_vide_TAW&gt;0,V166&gt;R166*dec_vide_TAW)),H166&gt;MAX(INDEX(H:H,Lig_min,1):INDEX(H:H,ROW(X166),1))*Kcbmax_stop_irrig*IF(ROW(X166)-lig_kcbmax&gt;0,1,0),MIN(INDEX(H:H,ROW(X166),1):INDEX(H:H,lig_kcbmax,1))&gt;Kcbmin_start_irrig),MIN(MAX(V166-E166*Irri_man-C166,0),Lame_max),0)</f>
        <v>0</v>
      </c>
      <c r="Y166" s="99">
        <f ca="1">MIN(MAX(T166-C166-IF(fw&gt;0,X166/fw*Irri_auto+E166/fw*Irri_man,0),0),TEW)</f>
        <v>10.2389166588762</v>
      </c>
      <c r="Z166" s="99">
        <f ca="1">MIN(MAX(U166-C166,0),TEW)</f>
        <v>7.76945032020661</v>
      </c>
      <c r="AA166" s="99">
        <f ca="1">MIN(MAX(V166-C166-(X166*Irri_auto+E166*Irri_man),0),R166)</f>
        <v>19.4908347670906</v>
      </c>
      <c r="AB166" s="99">
        <f ca="1">MIN(MAX(W166+MIN(V166-C166-(X166*Irri_auto+E166*Irri_man),0),0),S166)</f>
        <v>3.49527113953839e-7</v>
      </c>
      <c r="AC166" s="99">
        <f ca="1">-MIN(W166+MIN(V166-C166-(X166*Irri_auto+E166*Irri_man),0),0)</f>
        <v>0</v>
      </c>
      <c r="AD166" s="39">
        <f ca="1">IF(((R166-AA166)/P166-((Wfc-Wwp)*Ze-Y166)/Ze)/Wfc*DiffE&lt;0,MAX(((R166-AA166)/P166-((Wfc-Wwp)*Ze-Y166)/Ze)/Wfc*DiffE,(R166*Ze-((Wfc-Wwp)*Ze-Y166-AA166)*P166)/(P166+Ze)-AA166),MIN(((R166-AA166)/P166-((Wfc-Wwp)*Ze-Y166)/Ze)/Wfc*DiffE,(R166*Ze-((Wfc-Wwp)*Ze-Y166-AA166)*P166)/(P166+Ze)-AA166))</f>
        <v>1.16446617809476e-7</v>
      </c>
      <c r="AE166" s="39">
        <f ca="1">IF(((R166-AA166)/P166-((Wfc-Wwp)*Ze-Z166)/Ze)/Wfc*DiffE&lt;0,MAX(((R166-AA166)/P166-((Wfc-Wwp)*Ze-Z166)/Ze)/Wfc*DiffE,(R166*Ze-((Wfc-Wwp)*Ze-Z166-AA166)*P166)/(P166+Ze)-AA166),MIN(((R166-AA166)/P166-((Wfc-Wwp)*Ze-Z166)/Ze)/Wfc*DiffE,(R166*Ze-((Wfc-Wwp)*Ze-Z166-AA166)*P166)/(P166+Ze)-AA166))</f>
        <v>6.70572910360836e-8</v>
      </c>
      <c r="AF166" s="39">
        <f ca="1">IF(((S166-AB166)/Q166-(R166-AA166)/P166)/Wfc*DiffR&lt;0,MAX(((S166-AB166)/Q166-(R166-AA166)/P166)/Wfc*DiffR,(S166*P166-(R166-AA166-AB166)*Q166)/(P166+Q166)-AB166),MIN(((S166-AB166)/Q166-(R166-AA166)/P166)/Wfc*DiffR,(S166*P166-(R166-AA166-AB166)*Q166)/(P166+Q166)-AB166))</f>
        <v>8.83317013278938e-8</v>
      </c>
      <c r="AG166" s="99">
        <f ca="1">MIN(MAX(Y166+IF(AU166&gt;0,B166*AZ166/AU166,0)+BE166-AD166,0),TEW)</f>
        <v>10.7609904333098</v>
      </c>
      <c r="AH166" s="99">
        <f ca="1">MIN(MAX(Z166+IF(AV166&gt;0,B166*BA166/AV166,0)+BF166-AE166,0),TEW)</f>
        <v>8.21339476445654</v>
      </c>
      <c r="AI166" s="99">
        <f ca="1" t="shared" si="23"/>
        <v>20.531397157536</v>
      </c>
      <c r="AJ166" s="99">
        <f ca="1" t="shared" si="24"/>
        <v>4.37858815281733e-7</v>
      </c>
      <c r="AK166" s="70">
        <f ca="1">IF((AU166+AV166)&gt;0,(TEW-(AG166*AU166+AH166*AV166)/(AU166+AV166))/TEW,(TEW-(AG166+AH166)/2)/TEW)</f>
        <v>0.67513991144725</v>
      </c>
      <c r="AL166" s="70">
        <f ca="1" t="shared" si="25"/>
        <v>0.713699987080798</v>
      </c>
      <c r="AM166" s="70">
        <f ca="1" t="shared" si="26"/>
        <v>0.999999945881997</v>
      </c>
      <c r="AN166" s="70">
        <f ca="1">Wwp+(Wfc-Wwp)*IF((AU166+AV166)&gt;0,(TEW-(AG166*AU166+AH166*AV166)/(AU166+AV166))/TEW,(TEW-(AG166+AH166)/2)/TEW)</f>
        <v>0.357768188488143</v>
      </c>
      <c r="AO166" s="70">
        <f ca="1">Wwp+(Wfc-Wwp)*(R166-AI166)/R166</f>
        <v>0.362780998320504</v>
      </c>
      <c r="AP166" s="70">
        <f ca="1">Wwp+(Wfc-Wwp)*(S166-AJ166)/S166</f>
        <v>0.39999999296466</v>
      </c>
      <c r="AQ166" s="70"/>
      <c r="AR166" s="70"/>
      <c r="AS166" s="70"/>
      <c r="AT166" s="70"/>
      <c r="AU166" s="70">
        <f ca="1">MIN((1-G166),fw)</f>
        <v>0.0933333333333335</v>
      </c>
      <c r="AV166" s="70">
        <f ca="1" t="shared" si="27"/>
        <v>0</v>
      </c>
      <c r="AW166" s="70">
        <f ca="1">MIN((TEW-Y166)/(TEW-REW),1)</f>
        <v>0.0879365884729066</v>
      </c>
      <c r="AX166" s="70">
        <f ca="1">MIN((TEW-Z166)/(TEW-REW),1)</f>
        <v>0.0974251690191935</v>
      </c>
      <c r="AY166" s="70">
        <f ca="1">IF((AU166*(TEW-Y166))&gt;0,1/(1+((AV166*(TEW-Z166))/(AU166*(TEW-Y166)))),0)</f>
        <v>1</v>
      </c>
      <c r="AZ166" s="70">
        <f ca="1">MIN((AY166*AW166*(Kcmax-H166)),AU166*Kcmax)</f>
        <v>0.0112488169509637</v>
      </c>
      <c r="BA166" s="70">
        <f ca="1">MIN(((1-AY166)*AX166*(Kcmax-H166)),AV166*Kcmax)</f>
        <v>0</v>
      </c>
      <c r="BB166" s="70">
        <f ca="1" t="shared" si="28"/>
        <v>0.0113275586696204</v>
      </c>
      <c r="BC166" s="70">
        <f ca="1">MIN((R166-AA166)/(R166*(1-(p+0.04*(5-I165)))),1)</f>
        <v>1</v>
      </c>
      <c r="BD166" s="10">
        <f ca="1" t="shared" si="29"/>
        <v>1.0292349201074</v>
      </c>
      <c r="BE166" s="70">
        <f ca="1">MIN(IF((1-AA166/R166)&gt;0,(1-Y166/TEW)/(1-AA166/R166)*(Ze/P166)^0.6,0),1)*BC166*H166*B166</f>
        <v>0.400707190848574</v>
      </c>
      <c r="BF166" s="70">
        <f ca="1">MIN(IF((1-AA166/R166)&gt;0,(1-Z166/TEW)/(1-AA166/R166)*(Ze/P166)^0.6,0),1)*BC166*H166*B166</f>
        <v>0.443944511307219</v>
      </c>
      <c r="BH166" s="10">
        <f ca="1" t="shared" si="30"/>
        <v>0.0239489618389547</v>
      </c>
      <c r="BI166" s="10">
        <f ca="1">IF(F166&lt;&gt;"",(Moy_Etobs-F166)^2,"")</f>
        <v>0.17102821163078</v>
      </c>
    </row>
    <row r="167" spans="1:61">
      <c r="A167" s="38">
        <v>39160</v>
      </c>
      <c r="B167" s="10">
        <v>1.231</v>
      </c>
      <c r="C167" s="39">
        <v>14.256</v>
      </c>
      <c r="D167">
        <v>0.833</v>
      </c>
      <c r="E167" s="39">
        <v>0</v>
      </c>
      <c r="F167" s="10">
        <v>1.9223424</v>
      </c>
      <c r="G167" s="10">
        <f ca="1">MIN(MAX(IF(AND(Durpla&gt;ROW()-MATCH(NDVImax,INDEX(D:D,Lig_min,1):INDEX(D:D,Lig_max,1),0)-Lig_min+1,ROW()-MATCH(NDVImax,INDEX(D:D,Lig_min,1):INDEX(D:D,Lig_max,1),0)-Lig_min+1&gt;0,D167*a_fc+b_fc&gt;fc_fin),NDVImax*a_fc+b_fc,D167*a_fc+b_fc),0),1)</f>
        <v>0.910666666666667</v>
      </c>
      <c r="H167" s="55">
        <f>MIN(MAX(D167*a_kcb+b_kcb,0),Kcmax)</f>
        <v>1.02658953565242</v>
      </c>
      <c r="I167" s="70">
        <f ca="1" t="shared" si="22"/>
        <v>1.28306760382181</v>
      </c>
      <c r="O167" s="55"/>
      <c r="P167" s="35">
        <f ca="1">IF(ROW()-MATCH(NDVImax,INDEX(D:D,Lig_min,1):INDEX(D:D,Lig_max,1),0)-Lig_min+1&gt;0,MAX(MIN(Zr_min+MAX(INDEX(G:G,Lig_min,1):INDEX(G:G,Lig_max,1))/MAX(MAX(INDEX(G:G,Lig_min,1):INDEX(G:G,Lig_max,1)),Max_fc_pour_Zrmax)*(Zr_max-Zr_min),Zr_max),Ze+0.001),MAX(MIN(Zr_min+G167/MAX(MAX(INDEX(G:G,Lig_min,1):INDEX(G:G,Lig_max,1)),Max_fc_pour_Zrmax)*(Zr_max-Zr_min),Zr_max),Ze+0.001))</f>
        <v>553.519727464305</v>
      </c>
      <c r="Q167" s="35">
        <f ca="1">IF(Z_sol&gt;0,Z_sol-P167,0.1)</f>
        <v>60.3548236001287</v>
      </c>
      <c r="R167" s="35">
        <f ca="1">(Wfc-Wwp)*P167</f>
        <v>71.9575645703597</v>
      </c>
      <c r="S167" s="35">
        <f ca="1">(Wfc-Wwp)*Q167</f>
        <v>7.84612706801673</v>
      </c>
      <c r="T167" s="99">
        <f ca="1" t="shared" si="31"/>
        <v>10.7609904333098</v>
      </c>
      <c r="U167" s="99">
        <f ca="1" t="shared" si="32"/>
        <v>8.21339476445654</v>
      </c>
      <c r="V167" s="99">
        <f ca="1">IF(P167&gt;P166,IF(Q167&gt;1,MAX(AI166+(Wfc-Wwp)*(P167-P166)*AJ166/S166,0),AI166/P166*P167),MAX(AI166+(Wfc-Wwp)*(P167-P166)*AI166/R166,0))</f>
        <v>20.531397170778</v>
      </c>
      <c r="W167" s="99">
        <f ca="1">IF(S167&gt;1,IF(P167&gt;P166,MAX(AJ166-(Wfc-Wwp)*(P167-P166)*AJ166/S166,0),MAX(AJ166-(Wfc-Wwp)*(P167-P166)*AI166/R166,0)),0)</f>
        <v>4.24616726833128e-7</v>
      </c>
      <c r="X167" s="99">
        <f ca="1">IF(AND(OR(AND(dec_vide_TAW&lt;0,V167&gt;R167*(p+0.04*(5-I166))),AND(dec_vide_TAW&gt;0,V167&gt;R167*dec_vide_TAW)),H167&gt;MAX(INDEX(H:H,Lig_min,1):INDEX(H:H,ROW(X167),1))*Kcbmax_stop_irrig*IF(ROW(X167)-lig_kcbmax&gt;0,1,0),MIN(INDEX(H:H,ROW(X167),1):INDEX(H:H,lig_kcbmax,1))&gt;Kcbmin_start_irrig),MIN(MAX(V167-E167*Irri_man-C167,0),Lame_max),0)</f>
        <v>0</v>
      </c>
      <c r="Y167" s="99">
        <f ca="1">MIN(MAX(T167-C167-IF(fw&gt;0,X167/fw*Irri_auto+E167/fw*Irri_man,0),0),TEW)</f>
        <v>0</v>
      </c>
      <c r="Z167" s="99">
        <f ca="1">MIN(MAX(U167-C167,0),TEW)</f>
        <v>0</v>
      </c>
      <c r="AA167" s="99">
        <f ca="1">MIN(MAX(V167-C167-(X167*Irri_auto+E167*Irri_man),0),R167)</f>
        <v>6.27539717077805</v>
      </c>
      <c r="AB167" s="99">
        <f ca="1">MIN(MAX(W167+MIN(V167-C167-(X167*Irri_auto+E167*Irri_man),0),0),S167)</f>
        <v>4.24616726833128e-7</v>
      </c>
      <c r="AC167" s="99">
        <f ca="1">-MIN(W167+MIN(V167-C167-(X167*Irri_auto+E167*Irri_man),0),0)</f>
        <v>0</v>
      </c>
      <c r="AD167" s="39">
        <f ca="1">IF(((R167-AA167)/P167-((Wfc-Wwp)*Ze-Y167)/Ze)/Wfc*DiffE&lt;0,MAX(((R167-AA167)/P167-((Wfc-Wwp)*Ze-Y167)/Ze)/Wfc*DiffE,(R167*Ze-((Wfc-Wwp)*Ze-Y167-AA167)*P167)/(P167+Ze)-AA167),MIN(((R167-AA167)/P167-((Wfc-Wwp)*Ze-Y167)/Ze)/Wfc*DiffE,(R167*Ze-((Wfc-Wwp)*Ze-Y167-AA167)*P167)/(P167+Ze)-AA167))</f>
        <v>-2.83431504759816e-8</v>
      </c>
      <c r="AE167" s="39">
        <f ca="1">IF(((R167-AA167)/P167-((Wfc-Wwp)*Ze-Z167)/Ze)/Wfc*DiffE&lt;0,MAX(((R167-AA167)/P167-((Wfc-Wwp)*Ze-Z167)/Ze)/Wfc*DiffE,(R167*Ze-((Wfc-Wwp)*Ze-Z167-AA167)*P167)/(P167+Ze)-AA167),MIN(((R167-AA167)/P167-((Wfc-Wwp)*Ze-Z167)/Ze)/Wfc*DiffE,(R167*Ze-((Wfc-Wwp)*Ze-Z167-AA167)*P167)/(P167+Ze)-AA167))</f>
        <v>-2.83431504759816e-8</v>
      </c>
      <c r="AF167" s="39">
        <f ca="1">IF(((S167-AB167)/Q167-(R167-AA167)/P167)/Wfc*DiffR&lt;0,MAX(((S167-AB167)/Q167-(R167-AA167)/P167)/Wfc*DiffR,(S167*P167-(R167-AA167-AB167)*Q167)/(P167+Q167)-AB167),MIN(((S167-AB167)/Q167-(R167-AA167)/P167)/Wfc*DiffR,(S167*P167-(R167-AA167-AB167)*Q167)/(P167+Q167)-AB167))</f>
        <v>2.83431328876307e-8</v>
      </c>
      <c r="AG167" s="99">
        <f ca="1">MIN(MAX(Y167+IF(AU167&gt;0,B167*AZ167/AU167,0)+BE167-AD167,0),TEW)</f>
        <v>0.783403364181616</v>
      </c>
      <c r="AH167" s="99">
        <f ca="1">MIN(MAX(Z167+IF(AV167&gt;0,B167*BA167/AV167,0)+BF167-AE167,0),TEW)</f>
        <v>0.566956885446346</v>
      </c>
      <c r="AI167" s="99">
        <f ca="1" t="shared" si="23"/>
        <v>7.55846474625673</v>
      </c>
      <c r="AJ167" s="99">
        <f ca="1" t="shared" si="24"/>
        <v>4.52959859720759e-7</v>
      </c>
      <c r="AK167" s="70">
        <f ca="1">IF((AU167+AV167)&gt;0,(TEW-(AG167*AU167+AH167*AV167)/(AU167+AV167))/TEW,(TEW-(AG167+AH167)/2)/TEW)</f>
        <v>0.976350087119046</v>
      </c>
      <c r="AL167" s="70">
        <f ca="1" t="shared" si="25"/>
        <v>0.894959414046509</v>
      </c>
      <c r="AM167" s="70">
        <f ca="1" t="shared" si="26"/>
        <v>0.999999942269625</v>
      </c>
      <c r="AN167" s="70">
        <f ca="1">Wwp+(Wfc-Wwp)*IF((AU167+AV167)&gt;0,(TEW-(AG167*AU167+AH167*AV167)/(AU167+AV167))/TEW,(TEW-(AG167+AH167)/2)/TEW)</f>
        <v>0.396925511325476</v>
      </c>
      <c r="AO167" s="70">
        <f ca="1">Wwp+(Wfc-Wwp)*(R167-AI167)/R167</f>
        <v>0.386344723826046</v>
      </c>
      <c r="AP167" s="70">
        <f ca="1">Wwp+(Wfc-Wwp)*(S167-AJ167)/S167</f>
        <v>0.399999992495051</v>
      </c>
      <c r="AQ167" s="70"/>
      <c r="AR167" s="70"/>
      <c r="AS167" s="70"/>
      <c r="AT167" s="70"/>
      <c r="AU167" s="70">
        <f ca="1">MIN((1-G167),fw)</f>
        <v>0.0893333333333335</v>
      </c>
      <c r="AV167" s="70">
        <f ca="1" t="shared" si="27"/>
        <v>0</v>
      </c>
      <c r="AW167" s="70">
        <f ca="1">MIN((TEW-Y167)/(TEW-REW),1)</f>
        <v>0.12727820001996</v>
      </c>
      <c r="AX167" s="70">
        <f ca="1">MIN((TEW-Z167)/(TEW-REW),1)</f>
        <v>0.12727820001996</v>
      </c>
      <c r="AY167" s="70">
        <f ca="1">IF((AU167*(TEW-Y167))&gt;0,1/(1+((AV167*(TEW-Z167))/(AU167*(TEW-Y167)))),0)</f>
        <v>1</v>
      </c>
      <c r="AZ167" s="70">
        <f ca="1">MIN((AY167*AW167*(Kcmax-H167)),AU167*Kcmax)</f>
        <v>0.0157074617657873</v>
      </c>
      <c r="BA167" s="70">
        <f ca="1">MIN(((1-AY167)*AX167*(Kcmax-H167)),AV167*Kcmax)</f>
        <v>0</v>
      </c>
      <c r="BB167" s="70">
        <f ca="1" t="shared" si="28"/>
        <v>0.0193358854336842</v>
      </c>
      <c r="BC167" s="70">
        <f ca="1">MIN((R167-AA167)/(R167*(1-(p+0.04*(5-I166)))),1)</f>
        <v>1</v>
      </c>
      <c r="BD167" s="10">
        <f ca="1" t="shared" si="29"/>
        <v>1.26373171838813</v>
      </c>
      <c r="BE167" s="70">
        <f ca="1">MIN(IF((1-AA167/R167)&gt;0,(1-Y167/TEW)/(1-AA167/R167)*(Ze/P167)^0.6,0),1)*BC167*H167*B167</f>
        <v>0.566956857103195</v>
      </c>
      <c r="BF167" s="70">
        <f ca="1">MIN(IF((1-AA167/R167)&gt;0,(1-Z167/TEW)/(1-AA167/R167)*(Ze/P167)^0.6,0),1)*BC167*H167*B167</f>
        <v>0.566956857103195</v>
      </c>
      <c r="BH167" s="10">
        <f ca="1" t="shared" si="30"/>
        <v>0.40867226502866</v>
      </c>
      <c r="BI167" s="10">
        <f ca="1">IF(F167&lt;&gt;"",(Moy_Etobs-F167)^2,"")</f>
        <v>0.0982633326884684</v>
      </c>
    </row>
    <row r="168" spans="1:61">
      <c r="A168" s="38">
        <v>39161</v>
      </c>
      <c r="B168" s="10">
        <v>1.244</v>
      </c>
      <c r="C168" s="39">
        <v>2.376</v>
      </c>
      <c r="D168">
        <v>0.836</v>
      </c>
      <c r="E168" s="39">
        <v>0</v>
      </c>
      <c r="F168" s="10">
        <v>1.8508464</v>
      </c>
      <c r="G168" s="10">
        <f ca="1">MIN(MAX(IF(AND(Durpla&gt;ROW()-MATCH(NDVImax,INDEX(D:D,Lig_min,1):INDEX(D:D,Lig_max,1),0)-Lig_min+1,ROW()-MATCH(NDVImax,INDEX(D:D,Lig_min,1):INDEX(D:D,Lig_max,1),0)-Lig_min+1&gt;0,D168*a_fc+b_fc&gt;fc_fin),NDVImax*a_fc+b_fc,D168*a_fc+b_fc),0),1)</f>
        <v>0.914666666666667</v>
      </c>
      <c r="H168" s="55">
        <f>MIN(MAX(D168*a_kcb+b_kcb,0),Kcmax)</f>
        <v>1.03109871370067</v>
      </c>
      <c r="I168" s="70">
        <f ca="1" t="shared" si="22"/>
        <v>1.30151292571873</v>
      </c>
      <c r="O168" s="55"/>
      <c r="P168" s="35">
        <f ca="1">IF(ROW()-MATCH(NDVImax,INDEX(D:D,Lig_min,1):INDEX(D:D,Lig_max,1),0)-Lig_min+1&gt;0,MAX(MIN(Zr_min+MAX(INDEX(G:G,Lig_min,1):INDEX(G:G,Lig_max,1))/MAX(MAX(INDEX(G:G,Lig_min,1):INDEX(G:G,Lig_max,1)),Max_fc_pour_Zrmax)*(Zr_max-Zr_min),Zr_max),Ze+0.001),MAX(MIN(Zr_min+G168/MAX(MAX(INDEX(G:G,Lig_min,1):INDEX(G:G,Lig_max,1)),Max_fc_pour_Zrmax)*(Zr_max-Zr_min),Zr_max),Ze+0.001))</f>
        <v>555.401951743065</v>
      </c>
      <c r="Q168" s="35">
        <f ca="1">IF(Z_sol&gt;0,Z_sol-P168,0.1)</f>
        <v>58.472599321369</v>
      </c>
      <c r="R168" s="35">
        <f ca="1">(Wfc-Wwp)*P168</f>
        <v>72.2022537265985</v>
      </c>
      <c r="S168" s="35">
        <f ca="1">(Wfc-Wwp)*Q168</f>
        <v>7.60143791177797</v>
      </c>
      <c r="T168" s="99">
        <f ca="1" t="shared" si="31"/>
        <v>0.783403364181616</v>
      </c>
      <c r="U168" s="99">
        <f ca="1" t="shared" si="32"/>
        <v>0.566956885446346</v>
      </c>
      <c r="V168" s="99">
        <f ca="1">IF(P168&gt;P167,IF(Q168&gt;1,MAX(AI167+(Wfc-Wwp)*(P168-P167)*AJ167/S167,0),AI167/P167*P168),MAX(AI167+(Wfc-Wwp)*(P168-P167)*AI167/R167,0))</f>
        <v>7.55846476038272</v>
      </c>
      <c r="W168" s="99">
        <f ca="1">IF(S168&gt;1,IF(P168&gt;P167,MAX(AJ167-(Wfc-Wwp)*(P168-P167)*AJ167/S167,0),MAX(AJ167-(Wfc-Wwp)*(P168-P167)*AI167/R167,0)),0)</f>
        <v>4.38833862916948e-7</v>
      </c>
      <c r="X168" s="99">
        <f ca="1">IF(AND(OR(AND(dec_vide_TAW&lt;0,V168&gt;R168*(p+0.04*(5-I167))),AND(dec_vide_TAW&gt;0,V168&gt;R168*dec_vide_TAW)),H168&gt;MAX(INDEX(H:H,Lig_min,1):INDEX(H:H,ROW(X168),1))*Kcbmax_stop_irrig*IF(ROW(X168)-lig_kcbmax&gt;0,1,0),MIN(INDEX(H:H,ROW(X168),1):INDEX(H:H,lig_kcbmax,1))&gt;Kcbmin_start_irrig),MIN(MAX(V168-E168*Irri_man-C168,0),Lame_max),0)</f>
        <v>0</v>
      </c>
      <c r="Y168" s="99">
        <f ca="1">MIN(MAX(T168-C168-IF(fw&gt;0,X168/fw*Irri_auto+E168/fw*Irri_man,0),0),TEW)</f>
        <v>0</v>
      </c>
      <c r="Z168" s="99">
        <f ca="1">MIN(MAX(U168-C168,0),TEW)</f>
        <v>0</v>
      </c>
      <c r="AA168" s="99">
        <f ca="1">MIN(MAX(V168-C168-(X168*Irri_auto+E168*Irri_man),0),R168)</f>
        <v>5.18246476038272</v>
      </c>
      <c r="AB168" s="99">
        <f ca="1">MIN(MAX(W168+MIN(V168-C168-(X168*Irri_auto+E168*Irri_man),0),0),S168)</f>
        <v>4.38833862916948e-7</v>
      </c>
      <c r="AC168" s="99">
        <f ca="1">-MIN(W168+MIN(V168-C168-(X168*Irri_auto+E168*Irri_man),0),0)</f>
        <v>0</v>
      </c>
      <c r="AD168" s="39">
        <f ca="1">IF(((R168-AA168)/P168-((Wfc-Wwp)*Ze-Y168)/Ze)/Wfc*DiffE&lt;0,MAX(((R168-AA168)/P168-((Wfc-Wwp)*Ze-Y168)/Ze)/Wfc*DiffE,(R168*Ze-((Wfc-Wwp)*Ze-Y168-AA168)*P168)/(P168+Ze)-AA168),MIN(((R168-AA168)/P168-((Wfc-Wwp)*Ze-Y168)/Ze)/Wfc*DiffE,(R168*Ze-((Wfc-Wwp)*Ze-Y168-AA168)*P168)/(P168+Ze)-AA168))</f>
        <v>-2.33275411803927e-8</v>
      </c>
      <c r="AE168" s="39">
        <f ca="1">IF(((R168-AA168)/P168-((Wfc-Wwp)*Ze-Z168)/Ze)/Wfc*DiffE&lt;0,MAX(((R168-AA168)/P168-((Wfc-Wwp)*Ze-Z168)/Ze)/Wfc*DiffE,(R168*Ze-((Wfc-Wwp)*Ze-Z168-AA168)*P168)/(P168+Ze)-AA168),MIN(((R168-AA168)/P168-((Wfc-Wwp)*Ze-Z168)/Ze)/Wfc*DiffE,(R168*Ze-((Wfc-Wwp)*Ze-Z168-AA168)*P168)/(P168+Ze)-AA168))</f>
        <v>-2.33275411803927e-8</v>
      </c>
      <c r="AF168" s="39">
        <f ca="1">IF(((S168-AB168)/Q168-(R168-AA168)/P168)/Wfc*DiffR&lt;0,MAX(((S168-AB168)/Q168-(R168-AA168)/P168)/Wfc*DiffR,(S168*P168-(R168-AA168-AB168)*Q168)/(P168+Q168)-AB168),MIN(((S168-AB168)/Q168-(R168-AA168)/P168)/Wfc*DiffR,(S168*P168-(R168-AA168-AB168)*Q168)/(P168+Q168)-AB168))</f>
        <v>2.33275224180208e-8</v>
      </c>
      <c r="AG168" s="99">
        <f ca="1">MIN(MAX(Y168+IF(AU168&gt;0,B168*AZ168/AU168,0)+BE168-AD168,0),TEW)</f>
        <v>0.785360429315576</v>
      </c>
      <c r="AH168" s="99">
        <f ca="1">MIN(MAX(Z168+IF(AV168&gt;0,B168*BA168/AV168,0)+BF168-AE168,0),TEW)</f>
        <v>0.564741766716822</v>
      </c>
      <c r="AI168" s="99">
        <f ca="1" t="shared" si="23"/>
        <v>6.48397766277393</v>
      </c>
      <c r="AJ168" s="99">
        <f ca="1" t="shared" si="24"/>
        <v>4.62161385334968e-7</v>
      </c>
      <c r="AK168" s="70">
        <f ca="1">IF((AU168+AV168)&gt;0,(TEW-(AG168*AU168+AH168*AV168)/(AU168+AV168))/TEW,(TEW-(AG168+AH168)/2)/TEW)</f>
        <v>0.976291005907454</v>
      </c>
      <c r="AL168" s="70">
        <f ca="1" t="shared" si="25"/>
        <v>0.910197018401583</v>
      </c>
      <c r="AM168" s="70">
        <f ca="1" t="shared" si="26"/>
        <v>0.999999939200795</v>
      </c>
      <c r="AN168" s="70">
        <f ca="1">Wwp+(Wfc-Wwp)*IF((AU168+AV168)&gt;0,(TEW-(AG168*AU168+AH168*AV168)/(AU168+AV168))/TEW,(TEW-(AG168+AH168)/2)/TEW)</f>
        <v>0.396917830767969</v>
      </c>
      <c r="AO168" s="70">
        <f ca="1">Wwp+(Wfc-Wwp)*(R168-AI168)/R168</f>
        <v>0.388325612392206</v>
      </c>
      <c r="AP168" s="70">
        <f ca="1">Wwp+(Wfc-Wwp)*(S168-AJ168)/S168</f>
        <v>0.399999992096103</v>
      </c>
      <c r="AQ168" s="70"/>
      <c r="AR168" s="70"/>
      <c r="AS168" s="70"/>
      <c r="AT168" s="70"/>
      <c r="AU168" s="70">
        <f ca="1">MIN((1-G168),fw)</f>
        <v>0.0853333333333335</v>
      </c>
      <c r="AV168" s="70">
        <f ca="1" t="shared" si="27"/>
        <v>0</v>
      </c>
      <c r="AW168" s="70">
        <f ca="1">MIN((TEW-Y168)/(TEW-REW),1)</f>
        <v>0.12727820001996</v>
      </c>
      <c r="AX168" s="70">
        <f ca="1">MIN((TEW-Z168)/(TEW-REW),1)</f>
        <v>0.12727820001996</v>
      </c>
      <c r="AY168" s="70">
        <f ca="1">IF((AU168*(TEW-Y168))&gt;0,1/(1+((AV168*(TEW-Z168))/(AU168*(TEW-Y168)))),0)</f>
        <v>1</v>
      </c>
      <c r="AZ168" s="70">
        <f ca="1">MIN((AY168*AW168*(Kcmax-H168)),AU168*Kcmax)</f>
        <v>0.0151335417002361</v>
      </c>
      <c r="BA168" s="70">
        <f ca="1">MIN(((1-AY168)*AX168*(Kcmax-H168)),AV168*Kcmax)</f>
        <v>0</v>
      </c>
      <c r="BB168" s="70">
        <f ca="1" t="shared" si="28"/>
        <v>0.0188261258750937</v>
      </c>
      <c r="BC168" s="70">
        <f ca="1">MIN((R168-AA168)/(R168*(1-(p+0.04*(5-I167)))),1)</f>
        <v>1</v>
      </c>
      <c r="BD168" s="10">
        <f ca="1" t="shared" si="29"/>
        <v>1.28268679984364</v>
      </c>
      <c r="BE168" s="70">
        <f ca="1">MIN(IF((1-AA168/R168)&gt;0,(1-Y168/TEW)/(1-AA168/R168)*(Ze/P168)^0.6,0),1)*BC168*H168*B168</f>
        <v>0.564741743389281</v>
      </c>
      <c r="BF168" s="70">
        <f ca="1">MIN(IF((1-AA168/R168)&gt;0,(1-Z168/TEW)/(1-AA168/R168)*(Ze/P168)^0.6,0),1)*BC168*H168*B168</f>
        <v>0.564741743389281</v>
      </c>
      <c r="BH168" s="10">
        <f ca="1" t="shared" si="30"/>
        <v>0.301767265965927</v>
      </c>
      <c r="BI168" s="10">
        <f ca="1">IF(F168&lt;&gt;"",(Moy_Etobs-F168)^2,"")</f>
        <v>0.0585513331452793</v>
      </c>
    </row>
    <row r="169" spans="1:61">
      <c r="A169" s="38">
        <v>39162</v>
      </c>
      <c r="B169" s="10">
        <v>1.094</v>
      </c>
      <c r="C169" s="39">
        <v>0.99</v>
      </c>
      <c r="D169">
        <v>0.839</v>
      </c>
      <c r="E169" s="39">
        <v>0</v>
      </c>
      <c r="F169" s="10">
        <v>1.5637914</v>
      </c>
      <c r="G169" s="10">
        <f ca="1">MIN(MAX(IF(AND(Durpla&gt;ROW()-MATCH(NDVImax,INDEX(D:D,Lig_min,1):INDEX(D:D,Lig_max,1),0)-Lig_min+1,ROW()-MATCH(NDVImax,INDEX(D:D,Lig_min,1):INDEX(D:D,Lig_max,1),0)-Lig_min+1&gt;0,D169*a_fc+b_fc&gt;fc_fin),NDVImax*a_fc+b_fc,D169*a_fc+b_fc),0),1)</f>
        <v>0.918666666666667</v>
      </c>
      <c r="H169" s="55">
        <f>MIN(MAX(D169*a_kcb+b_kcb,0),Kcmax)</f>
        <v>1.03560789174893</v>
      </c>
      <c r="I169" s="70">
        <f ca="1" t="shared" si="22"/>
        <v>1.14888325964167</v>
      </c>
      <c r="O169" s="55"/>
      <c r="P169" s="35">
        <f ca="1">IF(ROW()-MATCH(NDVImax,INDEX(D:D,Lig_min,1):INDEX(D:D,Lig_max,1),0)-Lig_min+1&gt;0,MAX(MIN(Zr_min+MAX(INDEX(G:G,Lig_min,1):INDEX(G:G,Lig_max,1))/MAX(MAX(INDEX(G:G,Lig_min,1):INDEX(G:G,Lig_max,1)),Max_fc_pour_Zrmax)*(Zr_max-Zr_min),Zr_max),Ze+0.001),MAX(MIN(Zr_min+G169/MAX(MAX(INDEX(G:G,Lig_min,1):INDEX(G:G,Lig_max,1)),Max_fc_pour_Zrmax)*(Zr_max-Zr_min),Zr_max),Ze+0.001))</f>
        <v>557.284176021825</v>
      </c>
      <c r="Q169" s="35">
        <f ca="1">IF(Z_sol&gt;0,Z_sol-P169,0.1)</f>
        <v>56.5903750426093</v>
      </c>
      <c r="R169" s="35">
        <f ca="1">(Wfc-Wwp)*P169</f>
        <v>72.4469428828372</v>
      </c>
      <c r="S169" s="35">
        <f ca="1">(Wfc-Wwp)*Q169</f>
        <v>7.3567487555392</v>
      </c>
      <c r="T169" s="99">
        <f ca="1" t="shared" si="31"/>
        <v>0.785360429315576</v>
      </c>
      <c r="U169" s="99">
        <f ca="1" t="shared" si="32"/>
        <v>0.564741766716822</v>
      </c>
      <c r="V169" s="99">
        <f ca="1">IF(P169&gt;P168,IF(Q169&gt;1,MAX(AI168+(Wfc-Wwp)*(P169-P168)*AJ168/S168,0),AI168/P168*P169),MAX(AI168+(Wfc-Wwp)*(P169-P168)*AI168/R168,0))</f>
        <v>6.48397767765084</v>
      </c>
      <c r="W169" s="99">
        <f ca="1">IF(S169&gt;1,IF(P169&gt;P168,MAX(AJ168-(Wfc-Wwp)*(P169-P168)*AJ168/S168,0),MAX(AJ168-(Wfc-Wwp)*(P169-P168)*AI168/R168,0)),0)</f>
        <v>4.47284479052733e-7</v>
      </c>
      <c r="X169" s="99">
        <f ca="1">IF(AND(OR(AND(dec_vide_TAW&lt;0,V169&gt;R169*(p+0.04*(5-I168))),AND(dec_vide_TAW&gt;0,V169&gt;R169*dec_vide_TAW)),H169&gt;MAX(INDEX(H:H,Lig_min,1):INDEX(H:H,ROW(X169),1))*Kcbmax_stop_irrig*IF(ROW(X169)-lig_kcbmax&gt;0,1,0),MIN(INDEX(H:H,ROW(X169),1):INDEX(H:H,lig_kcbmax,1))&gt;Kcbmin_start_irrig),MIN(MAX(V169-E169*Irri_man-C169,0),Lame_max),0)</f>
        <v>0</v>
      </c>
      <c r="Y169" s="99">
        <f ca="1">MIN(MAX(T169-C169-IF(fw&gt;0,X169/fw*Irri_auto+E169/fw*Irri_man,0),0),TEW)</f>
        <v>0</v>
      </c>
      <c r="Z169" s="99">
        <f ca="1">MIN(MAX(U169-C169,0),TEW)</f>
        <v>0</v>
      </c>
      <c r="AA169" s="99">
        <f ca="1">MIN(MAX(V169-C169-(X169*Irri_auto+E169*Irri_man),0),R169)</f>
        <v>5.49397767765084</v>
      </c>
      <c r="AB169" s="99">
        <f ca="1">MIN(MAX(W169+MIN(V169-C169-(X169*Irri_auto+E169*Irri_man),0),0),S169)</f>
        <v>4.47284479052733e-7</v>
      </c>
      <c r="AC169" s="99">
        <f ca="1">-MIN(W169+MIN(V169-C169-(X169*Irri_auto+E169*Irri_man),0),0)</f>
        <v>0</v>
      </c>
      <c r="AD169" s="39">
        <f ca="1">IF(((R169-AA169)/P169-((Wfc-Wwp)*Ze-Y169)/Ze)/Wfc*DiffE&lt;0,MAX(((R169-AA169)/P169-((Wfc-Wwp)*Ze-Y169)/Ze)/Wfc*DiffE,(R169*Ze-((Wfc-Wwp)*Ze-Y169-AA169)*P169)/(P169+Ze)-AA169),MIN(((R169-AA169)/P169-((Wfc-Wwp)*Ze-Y169)/Ze)/Wfc*DiffE,(R169*Ze-((Wfc-Wwp)*Ze-Y169-AA169)*P169)/(P169+Ze)-AA169))</f>
        <v>-2.46462124443835e-8</v>
      </c>
      <c r="AE169" s="39">
        <f ca="1">IF(((R169-AA169)/P169-((Wfc-Wwp)*Ze-Z169)/Ze)/Wfc*DiffE&lt;0,MAX(((R169-AA169)/P169-((Wfc-Wwp)*Ze-Z169)/Ze)/Wfc*DiffE,(R169*Ze-((Wfc-Wwp)*Ze-Z169-AA169)*P169)/(P169+Ze)-AA169),MIN(((R169-AA169)/P169-((Wfc-Wwp)*Ze-Z169)/Ze)/Wfc*DiffE,(R169*Ze-((Wfc-Wwp)*Ze-Z169-AA169)*P169)/(P169+Ze)-AA169))</f>
        <v>-2.46462124443835e-8</v>
      </c>
      <c r="AF169" s="39">
        <f ca="1">IF(((S169-AB169)/Q169-(R169-AA169)/P169)/Wfc*DiffR&lt;0,MAX(((S169-AB169)/Q169-(R169-AA169)/P169)/Wfc*DiffR,(S169*P169-(R169-AA169-AB169)*Q169)/(P169+Q169)-AB169),MIN(((S169-AB169)/Q169-(R169-AA169)/P169)/Wfc*DiffR,(S169*P169-(R169-AA169-AB169)*Q169)/(P169+Q169)-AB169))</f>
        <v>2.46461926846417e-8</v>
      </c>
      <c r="AG169" s="99">
        <f ca="1">MIN(MAX(Y169+IF(AU169&gt;0,B169*AZ169/AU169,0)+BE169-AD169,0),TEW)</f>
        <v>0.695830693218909</v>
      </c>
      <c r="AH169" s="99">
        <f ca="1">MIN(MAX(Z169+IF(AV169&gt;0,B169*BA169/AV169,0)+BF169-AE169,0),TEW)</f>
        <v>0.499991848116304</v>
      </c>
      <c r="AI169" s="99">
        <f ca="1" t="shared" si="23"/>
        <v>6.64286091264632</v>
      </c>
      <c r="AJ169" s="99">
        <f ca="1" t="shared" si="24"/>
        <v>4.71930671737375e-7</v>
      </c>
      <c r="AK169" s="70">
        <f ca="1">IF((AU169+AV169)&gt;0,(TEW-(AG169*AU169+AH169*AV169)/(AU169+AV169))/TEW,(TEW-(AG169+AH169)/2)/TEW)</f>
        <v>0.978993790393391</v>
      </c>
      <c r="AL169" s="70">
        <f ca="1" t="shared" si="25"/>
        <v>0.908307229424583</v>
      </c>
      <c r="AM169" s="70">
        <f ca="1" t="shared" si="26"/>
        <v>0.999999935850647</v>
      </c>
      <c r="AN169" s="70">
        <f ca="1">Wwp+(Wfc-Wwp)*IF((AU169+AV169)&gt;0,(TEW-(AG169*AU169+AH169*AV169)/(AU169+AV169))/TEW,(TEW-(AG169+AH169)/2)/TEW)</f>
        <v>0.397269192751141</v>
      </c>
      <c r="AO169" s="70">
        <f ca="1">Wwp+(Wfc-Wwp)*(R169-AI169)/R169</f>
        <v>0.388079939825196</v>
      </c>
      <c r="AP169" s="70">
        <f ca="1">Wwp+(Wfc-Wwp)*(S169-AJ169)/S169</f>
        <v>0.399999991660584</v>
      </c>
      <c r="AQ169" s="70"/>
      <c r="AR169" s="70"/>
      <c r="AS169" s="70"/>
      <c r="AT169" s="70"/>
      <c r="AU169" s="70">
        <f ca="1">MIN((1-G169),fw)</f>
        <v>0.0813333333333335</v>
      </c>
      <c r="AV169" s="70">
        <f ca="1" t="shared" si="27"/>
        <v>0</v>
      </c>
      <c r="AW169" s="70">
        <f ca="1">MIN((TEW-Y169)/(TEW-REW),1)</f>
        <v>0.12727820001996</v>
      </c>
      <c r="AX169" s="70">
        <f ca="1">MIN((TEW-Z169)/(TEW-REW),1)</f>
        <v>0.12727820001996</v>
      </c>
      <c r="AY169" s="70">
        <f ca="1">IF((AU169*(TEW-Y169))&gt;0,1/(1+((AV169*(TEW-Z169))/(AU169*(TEW-Y169)))),0)</f>
        <v>1</v>
      </c>
      <c r="AZ169" s="70">
        <f ca="1">MIN((AY169*AW169*(Kcmax-H169)),AU169*Kcmax)</f>
        <v>0.0145596216346849</v>
      </c>
      <c r="BA169" s="70">
        <f ca="1">MIN(((1-AY169)*AX169*(Kcmax-H169)),AV169*Kcmax)</f>
        <v>0</v>
      </c>
      <c r="BB169" s="70">
        <f ca="1" t="shared" si="28"/>
        <v>0.0159282260683452</v>
      </c>
      <c r="BC169" s="70">
        <f ca="1">MIN((R169-AA169)/(R169*(1-(p+0.04*(5-I168)))),1)</f>
        <v>1</v>
      </c>
      <c r="BD169" s="10">
        <f ca="1" t="shared" si="29"/>
        <v>1.13295503357333</v>
      </c>
      <c r="BE169" s="70">
        <f ca="1">MIN(IF((1-AA169/R169)&gt;0,(1-Y169/TEW)/(1-AA169/R169)*(Ze/P169)^0.6,0),1)*BC169*H169*B169</f>
        <v>0.499991823470091</v>
      </c>
      <c r="BF169" s="70">
        <f ca="1">MIN(IF((1-AA169/R169)&gt;0,(1-Z169/TEW)/(1-AA169/R169)*(Ze/P169)^0.6,0),1)*BC169*H169*B169</f>
        <v>0.499991823470091</v>
      </c>
      <c r="BH169" s="10">
        <f ca="1" t="shared" si="30"/>
        <v>0.172148764935605</v>
      </c>
      <c r="BI169" s="10">
        <f ca="1">IF(F169&lt;&gt;"",(Moy_Etobs-F169)^2,"")</f>
        <v>0.00203231212323798</v>
      </c>
    </row>
    <row r="170" spans="1:61">
      <c r="A170" s="38">
        <v>39163</v>
      </c>
      <c r="B170" s="10">
        <v>1.429</v>
      </c>
      <c r="C170" s="39">
        <v>0</v>
      </c>
      <c r="D170">
        <v>0.843</v>
      </c>
      <c r="E170" s="39">
        <v>0</v>
      </c>
      <c r="F170" s="10">
        <v>1.573506</v>
      </c>
      <c r="G170" s="10">
        <f ca="1">MIN(MAX(IF(AND(Durpla&gt;ROW()-MATCH(NDVImax,INDEX(D:D,Lig_min,1):INDEX(D:D,Lig_max,1),0)-Lig_min+1,ROW()-MATCH(NDVImax,INDEX(D:D,Lig_min,1):INDEX(D:D,Lig_max,1),0)-Lig_min+1&gt;0,D170*a_fc+b_fc&gt;fc_fin),NDVImax*a_fc+b_fc,D170*a_fc+b_fc),0),1)</f>
        <v>0.924</v>
      </c>
      <c r="H170" s="55">
        <f>MIN(MAX(D170*a_kcb+b_kcb,0),Kcmax)</f>
        <v>1.0416201291466</v>
      </c>
      <c r="I170" s="70">
        <f ca="1" t="shared" si="22"/>
        <v>1.50777327643397</v>
      </c>
      <c r="O170" s="55"/>
      <c r="P170" s="35">
        <f ca="1">IF(ROW()-MATCH(NDVImax,INDEX(D:D,Lig_min,1):INDEX(D:D,Lig_max,1),0)-Lig_min+1&gt;0,MAX(MIN(Zr_min+MAX(INDEX(G:G,Lig_min,1):INDEX(G:G,Lig_max,1))/MAX(MAX(INDEX(G:G,Lig_min,1):INDEX(G:G,Lig_max,1)),Max_fc_pour_Zrmax)*(Zr_max-Zr_min),Zr_max),Ze+0.001),MAX(MIN(Zr_min+G170/MAX(MAX(INDEX(G:G,Lig_min,1):INDEX(G:G,Lig_max,1)),Max_fc_pour_Zrmax)*(Zr_max-Zr_min),Zr_max),Ze+0.001))</f>
        <v>559.793808393505</v>
      </c>
      <c r="Q170" s="35">
        <f ca="1">IF(Z_sol&gt;0,Z_sol-P170,0.1)</f>
        <v>54.0807426709295</v>
      </c>
      <c r="R170" s="35">
        <f ca="1">(Wfc-Wwp)*P170</f>
        <v>72.7731950911556</v>
      </c>
      <c r="S170" s="35">
        <f ca="1">(Wfc-Wwp)*Q170</f>
        <v>7.03049654722083</v>
      </c>
      <c r="T170" s="99">
        <f ca="1" t="shared" si="31"/>
        <v>0.695830693218909</v>
      </c>
      <c r="U170" s="99">
        <f ca="1" t="shared" si="32"/>
        <v>0.499991848116304</v>
      </c>
      <c r="V170" s="99">
        <f ca="1">IF(P170&gt;P169,IF(Q170&gt;1,MAX(AI169+(Wfc-Wwp)*(P170-P169)*AJ169/S169,0),AI169/P169*P170),MAX(AI169+(Wfc-Wwp)*(P170-P169)*AI169/R169,0))</f>
        <v>6.64286093357519</v>
      </c>
      <c r="W170" s="99">
        <f ca="1">IF(S170&gt;1,IF(P170&gt;P169,MAX(AJ169-(Wfc-Wwp)*(P170-P169)*AJ169/S169,0),MAX(AJ169-(Wfc-Wwp)*(P170-P169)*AI169/R169,0)),0)</f>
        <v>4.51001803708334e-7</v>
      </c>
      <c r="X170" s="99">
        <f ca="1">IF(AND(OR(AND(dec_vide_TAW&lt;0,V170&gt;R170*(p+0.04*(5-I169))),AND(dec_vide_TAW&gt;0,V170&gt;R170*dec_vide_TAW)),H170&gt;MAX(INDEX(H:H,Lig_min,1):INDEX(H:H,ROW(X170),1))*Kcbmax_stop_irrig*IF(ROW(X170)-lig_kcbmax&gt;0,1,0),MIN(INDEX(H:H,ROW(X170),1):INDEX(H:H,lig_kcbmax,1))&gt;Kcbmin_start_irrig),MIN(MAX(V170-E170*Irri_man-C170,0),Lame_max),0)</f>
        <v>0</v>
      </c>
      <c r="Y170" s="99">
        <f ca="1">MIN(MAX(T170-C170-IF(fw&gt;0,X170/fw*Irri_auto+E170/fw*Irri_man,0),0),TEW)</f>
        <v>0.695830693218909</v>
      </c>
      <c r="Z170" s="99">
        <f ca="1">MIN(MAX(U170-C170,0),TEW)</f>
        <v>0.499991848116304</v>
      </c>
      <c r="AA170" s="99">
        <f ca="1">MIN(MAX(V170-C170-(X170*Irri_auto+E170*Irri_man),0),R170)</f>
        <v>6.64286093357519</v>
      </c>
      <c r="AB170" s="99">
        <f ca="1">MIN(MAX(W170+MIN(V170-C170-(X170*Irri_auto+E170*Irri_man),0),0),S170)</f>
        <v>4.51001803708334e-7</v>
      </c>
      <c r="AC170" s="99">
        <f ca="1">-MIN(W170+MIN(V170-C170-(X170*Irri_auto+E170*Irri_man),0),0)</f>
        <v>0</v>
      </c>
      <c r="AD170" s="39">
        <f ca="1">IF(((R170-AA170)/P170-((Wfc-Wwp)*Ze-Y170)/Ze)/Wfc*DiffE&lt;0,MAX(((R170-AA170)/P170-((Wfc-Wwp)*Ze-Y170)/Ze)/Wfc*DiffE,(R170*Ze-((Wfc-Wwp)*Ze-Y170-AA170)*P170)/(P170+Ze)-AA170),MIN(((R170-AA170)/P170-((Wfc-Wwp)*Ze-Y170)/Ze)/Wfc*DiffE,(R170*Ze-((Wfc-Wwp)*Ze-Y170-AA170)*P170)/(P170+Ze)-AA170))</f>
        <v>-1.57499385071051e-8</v>
      </c>
      <c r="AE170" s="39">
        <f ca="1">IF(((R170-AA170)/P170-((Wfc-Wwp)*Ze-Z170)/Ze)/Wfc*DiffE&lt;0,MAX(((R170-AA170)/P170-((Wfc-Wwp)*Ze-Z170)/Ze)/Wfc*DiffE,(R170*Ze-((Wfc-Wwp)*Ze-Z170-AA170)*P170)/(P170+Ze)-AA170),MIN(((R170-AA170)/P170-((Wfc-Wwp)*Ze-Z170)/Ze)/Wfc*DiffE,(R170*Ze-((Wfc-Wwp)*Ze-Z170-AA170)*P170)/(P170+Ze)-AA170))</f>
        <v>-1.96667154091572e-8</v>
      </c>
      <c r="AF170" s="39">
        <f ca="1">IF(((S170-AB170)/Q170-(R170-AA170)/P170)/Wfc*DiffR&lt;0,MAX(((S170-AB170)/Q170-(R170-AA170)/P170)/Wfc*DiffR,(S170*P170-(R170-AA170-AB170)*Q170)/(P170+Q170)-AB170),MIN(((S170-AB170)/Q170-(R170-AA170)/P170)/Wfc*DiffR,(S170*P170-(R170-AA170-AB170)*Q170)/(P170+Q170)-AB170))</f>
        <v>2.96665315229436e-8</v>
      </c>
      <c r="AG170" s="99">
        <f ca="1">MIN(MAX(Y170+IF(AU170&gt;0,B170*AZ170/AU170,0)+BE170-AD170,0),TEW)</f>
        <v>1.6020142294297</v>
      </c>
      <c r="AH170" s="99">
        <f ca="1">MIN(MAX(Z170+IF(AV170&gt;0,B170*BA170/AV170,0)+BF170-AE170,0),TEW)</f>
        <v>1.15619184934429</v>
      </c>
      <c r="AI170" s="99">
        <f ca="1" t="shared" si="23"/>
        <v>8.15063418034263</v>
      </c>
      <c r="AJ170" s="99">
        <f ca="1" t="shared" si="24"/>
        <v>4.80668335231277e-7</v>
      </c>
      <c r="AK170" s="70">
        <f ca="1">IF((AU170+AV170)&gt;0,(TEW-(AG170*AU170+AH170*AV170)/(AU170+AV170))/TEW,(TEW-(AG170+AH170)/2)/TEW)</f>
        <v>0.951637306281368</v>
      </c>
      <c r="AL170" s="70">
        <f ca="1" t="shared" si="25"/>
        <v>0.887999500775895</v>
      </c>
      <c r="AM170" s="70">
        <f ca="1" t="shared" si="26"/>
        <v>0.999999931630955</v>
      </c>
      <c r="AN170" s="70">
        <f ca="1">Wwp+(Wfc-Wwp)*IF((AU170+AV170)&gt;0,(TEW-(AG170*AU170+AH170*AV170)/(AU170+AV170))/TEW,(TEW-(AG170+AH170)/2)/TEW)</f>
        <v>0.393712849816578</v>
      </c>
      <c r="AO170" s="70">
        <f ca="1">Wwp+(Wfc-Wwp)*(R170-AI170)/R170</f>
        <v>0.385439935100866</v>
      </c>
      <c r="AP170" s="70">
        <f ca="1">Wwp+(Wfc-Wwp)*(S170-AJ170)/S170</f>
        <v>0.399999991112024</v>
      </c>
      <c r="AQ170" s="70"/>
      <c r="AR170" s="70"/>
      <c r="AS170" s="70"/>
      <c r="AT170" s="70"/>
      <c r="AU170" s="70">
        <f ca="1">MIN((1-G170),fw)</f>
        <v>0.0760000000000001</v>
      </c>
      <c r="AV170" s="70">
        <f ca="1" t="shared" si="27"/>
        <v>0</v>
      </c>
      <c r="AW170" s="70">
        <f ca="1">MIN((TEW-Y170)/(TEW-REW),1)</f>
        <v>0.124604567471989</v>
      </c>
      <c r="AX170" s="70">
        <f ca="1">MIN((TEW-Z170)/(TEW-REW),1)</f>
        <v>0.125357050964779</v>
      </c>
      <c r="AY170" s="70">
        <f ca="1">IF((AU170*(TEW-Y170))&gt;0,1/(1+((AV170*(TEW-Z170))/(AU170*(TEW-Y170)))),0)</f>
        <v>1</v>
      </c>
      <c r="AZ170" s="70">
        <f ca="1">MIN((AY170*AW170*(Kcmax-H170)),AU170*Kcmax)</f>
        <v>0.0135046269303579</v>
      </c>
      <c r="BA170" s="70">
        <f ca="1">MIN(((1-AY170)*AX170*(Kcmax-H170)),AV170*Kcmax)</f>
        <v>0</v>
      </c>
      <c r="BB170" s="70">
        <f ca="1" t="shared" si="28"/>
        <v>0.0192981118834815</v>
      </c>
      <c r="BC170" s="70">
        <f ca="1">MIN((R170-AA170)/(R170*(1-(p+0.04*(5-I169)))),1)</f>
        <v>1</v>
      </c>
      <c r="BD170" s="10">
        <f ca="1" t="shared" si="29"/>
        <v>1.48847516455049</v>
      </c>
      <c r="BE170" s="70">
        <f ca="1">MIN(IF((1-AA170/R170)&gt;0,(1-Y170/TEW)/(1-AA170/R170)*(Ze/P170)^0.6,0),1)*BC170*H170*B170</f>
        <v>0.652260995678202</v>
      </c>
      <c r="BF170" s="70">
        <f ca="1">MIN(IF((1-AA170/R170)&gt;0,(1-Z170/TEW)/(1-AA170/R170)*(Ze/P170)^0.6,0),1)*BC170*H170*B170</f>
        <v>0.656199981561272</v>
      </c>
      <c r="BH170" s="10">
        <f ca="1" t="shared" si="30"/>
        <v>0.00432079094740775</v>
      </c>
      <c r="BI170" s="10">
        <f ca="1">IF(F170&lt;&gt;"",(Moy_Etobs-F170)^2,"")</f>
        <v>0.00125079445766483</v>
      </c>
    </row>
    <row r="171" spans="1:61">
      <c r="A171" s="38">
        <v>39164</v>
      </c>
      <c r="B171" s="10">
        <v>1.196</v>
      </c>
      <c r="C171" s="39">
        <v>5.742</v>
      </c>
      <c r="D171">
        <v>0.846</v>
      </c>
      <c r="E171" s="39">
        <v>0</v>
      </c>
      <c r="F171" s="10">
        <v>1.4769144</v>
      </c>
      <c r="G171" s="10">
        <f ca="1">MIN(MAX(IF(AND(Durpla&gt;ROW()-MATCH(NDVImax,INDEX(D:D,Lig_min,1):INDEX(D:D,Lig_max,1),0)-Lig_min+1,ROW()-MATCH(NDVImax,INDEX(D:D,Lig_min,1):INDEX(D:D,Lig_max,1),0)-Lig_min+1&gt;0,D171*a_fc+b_fc&gt;fc_fin),NDVImax*a_fc+b_fc,D171*a_fc+b_fc),0),1)</f>
        <v>0.928</v>
      </c>
      <c r="H171" s="55">
        <f>MIN(MAX(D171*a_kcb+b_kcb,0),Kcmax)</f>
        <v>1.04612930719485</v>
      </c>
      <c r="I171" s="70">
        <f ca="1" t="shared" si="22"/>
        <v>1.26698233928386</v>
      </c>
      <c r="O171" s="55"/>
      <c r="P171" s="35">
        <f ca="1">IF(ROW()-MATCH(NDVImax,INDEX(D:D,Lig_min,1):INDEX(D:D,Lig_max,1),0)-Lig_min+1&gt;0,MAX(MIN(Zr_min+MAX(INDEX(G:G,Lig_min,1):INDEX(G:G,Lig_max,1))/MAX(MAX(INDEX(G:G,Lig_min,1):INDEX(G:G,Lig_max,1)),Max_fc_pour_Zrmax)*(Zr_max-Zr_min),Zr_max),Ze+0.001),MAX(MIN(Zr_min+G171/MAX(MAX(INDEX(G:G,Lig_min,1):INDEX(G:G,Lig_max,1)),Max_fc_pour_Zrmax)*(Zr_max-Zr_min),Zr_max),Ze+0.001))</f>
        <v>561.676032672264</v>
      </c>
      <c r="Q171" s="35">
        <f ca="1">IF(Z_sol&gt;0,Z_sol-P171,0.1)</f>
        <v>52.1985183921697</v>
      </c>
      <c r="R171" s="35">
        <f ca="1">(Wfc-Wwp)*P171</f>
        <v>73.0178842473944</v>
      </c>
      <c r="S171" s="35">
        <f ca="1">(Wfc-Wwp)*Q171</f>
        <v>6.78580739098206</v>
      </c>
      <c r="T171" s="99">
        <f ca="1" t="shared" si="31"/>
        <v>1.6020142294297</v>
      </c>
      <c r="U171" s="99">
        <f ca="1" t="shared" si="32"/>
        <v>1.15619184934429</v>
      </c>
      <c r="V171" s="99">
        <f ca="1">IF(P171&gt;P170,IF(Q171&gt;1,MAX(AI170+(Wfc-Wwp)*(P171-P170)*AJ170/S170,0),AI170/P170*P171),MAX(AI170+(Wfc-Wwp)*(P171-P170)*AI170/R170,0))</f>
        <v>8.15063419707179</v>
      </c>
      <c r="W171" s="99">
        <f ca="1">IF(S171&gt;1,IF(P171&gt;P170,MAX(AJ170-(Wfc-Wwp)*(P171-P170)*AJ170/S170,0),MAX(AJ170-(Wfc-Wwp)*(P171-P170)*AI170/R170,0)),0)</f>
        <v>4.6393917128269e-7</v>
      </c>
      <c r="X171" s="99">
        <f ca="1">IF(AND(OR(AND(dec_vide_TAW&lt;0,V171&gt;R171*(p+0.04*(5-I170))),AND(dec_vide_TAW&gt;0,V171&gt;R171*dec_vide_TAW)),H171&gt;MAX(INDEX(H:H,Lig_min,1):INDEX(H:H,ROW(X171),1))*Kcbmax_stop_irrig*IF(ROW(X171)-lig_kcbmax&gt;0,1,0),MIN(INDEX(H:H,ROW(X171),1):INDEX(H:H,lig_kcbmax,1))&gt;Kcbmin_start_irrig),MIN(MAX(V171-E171*Irri_man-C171,0),Lame_max),0)</f>
        <v>0</v>
      </c>
      <c r="Y171" s="99">
        <f ca="1">MIN(MAX(T171-C171-IF(fw&gt;0,X171/fw*Irri_auto+E171/fw*Irri_man,0),0),TEW)</f>
        <v>0</v>
      </c>
      <c r="Z171" s="99">
        <f ca="1">MIN(MAX(U171-C171,0),TEW)</f>
        <v>0</v>
      </c>
      <c r="AA171" s="99">
        <f ca="1">MIN(MAX(V171-C171-(X171*Irri_auto+E171*Irri_man),0),R171)</f>
        <v>2.40863419707179</v>
      </c>
      <c r="AB171" s="99">
        <f ca="1">MIN(MAX(W171+MIN(V171-C171-(X171*Irri_auto+E171*Irri_man),0),0),S171)</f>
        <v>4.6393917128269e-7</v>
      </c>
      <c r="AC171" s="99">
        <f ca="1">-MIN(W171+MIN(V171-C171-(X171*Irri_auto+E171*Irri_man),0),0)</f>
        <v>0</v>
      </c>
      <c r="AD171" s="39">
        <f ca="1">IF(((R171-AA171)/P171-((Wfc-Wwp)*Ze-Y171)/Ze)/Wfc*DiffE&lt;0,MAX(((R171-AA171)/P171-((Wfc-Wwp)*Ze-Y171)/Ze)/Wfc*DiffE,(R171*Ze-((Wfc-Wwp)*Ze-Y171-AA171)*P171)/(P171+Ze)-AA171),MIN(((R171-AA171)/P171-((Wfc-Wwp)*Ze-Y171)/Ze)/Wfc*DiffE,(R171*Ze-((Wfc-Wwp)*Ze-Y171-AA171)*P171)/(P171+Ze)-AA171))</f>
        <v>-1.07207449533334e-8</v>
      </c>
      <c r="AE171" s="39">
        <f ca="1">IF(((R171-AA171)/P171-((Wfc-Wwp)*Ze-Z171)/Ze)/Wfc*DiffE&lt;0,MAX(((R171-AA171)/P171-((Wfc-Wwp)*Ze-Z171)/Ze)/Wfc*DiffE,(R171*Ze-((Wfc-Wwp)*Ze-Z171-AA171)*P171)/(P171+Ze)-AA171),MIN(((R171-AA171)/P171-((Wfc-Wwp)*Ze-Z171)/Ze)/Wfc*DiffE,(R171*Ze-((Wfc-Wwp)*Ze-Z171-AA171)*P171)/(P171+Ze)-AA171))</f>
        <v>-1.07207449533334e-8</v>
      </c>
      <c r="AF171" s="39">
        <f ca="1">IF(((S171-AB171)/Q171-(R171-AA171)/P171)/Wfc*DiffR&lt;0,MAX(((S171-AB171)/Q171-(R171-AA171)/P171)/Wfc*DiffR,(S171*P171-(R171-AA171-AB171)*Q171)/(P171+Q171)-AB171),MIN(((S171-AB171)/Q171-(R171-AA171)/P171)/Wfc*DiffR,(S171*P171-(R171-AA171-AB171)*Q171)/(P171+Q171)-AB171))</f>
        <v>1.07207227333937e-8</v>
      </c>
      <c r="AG171" s="99">
        <f ca="1">MIN(MAX(Y171+IF(AU171&gt;0,B171*AZ171/AU171,0)+BE171-AD171,0),TEW)</f>
        <v>0.744823656441448</v>
      </c>
      <c r="AH171" s="99">
        <f ca="1">MIN(MAX(Z171+IF(AV171&gt;0,B171*BA171/AV171,0)+BF171-AE171,0),TEW)</f>
        <v>0.525216880346753</v>
      </c>
      <c r="AI171" s="99">
        <f ca="1" t="shared" si="23"/>
        <v>3.67561652563493</v>
      </c>
      <c r="AJ171" s="99">
        <f ca="1" t="shared" si="24"/>
        <v>4.74659894016084e-7</v>
      </c>
      <c r="AK171" s="70">
        <f ca="1">IF((AU171+AV171)&gt;0,(TEW-(AG171*AU171+AH171*AV171)/(AU171+AV171))/TEW,(TEW-(AG171+AH171)/2)/TEW)</f>
        <v>0.97751475754139</v>
      </c>
      <c r="AL171" s="70">
        <f ca="1" t="shared" si="25"/>
        <v>0.949661421122783</v>
      </c>
      <c r="AM171" s="70">
        <f ca="1" t="shared" si="26"/>
        <v>0.999999930051081</v>
      </c>
      <c r="AN171" s="70">
        <f ca="1">Wwp+(Wfc-Wwp)*IF((AU171+AV171)&gt;0,(TEW-(AG171*AU171+AH171*AV171)/(AU171+AV171))/TEW,(TEW-(AG171+AH171)/2)/TEW)</f>
        <v>0.397076918480381</v>
      </c>
      <c r="AO171" s="70">
        <f ca="1">Wwp+(Wfc-Wwp)*(R171-AI171)/R171</f>
        <v>0.393455984745962</v>
      </c>
      <c r="AP171" s="70">
        <f ca="1">Wwp+(Wfc-Wwp)*(S171-AJ171)/S171</f>
        <v>0.399999990906641</v>
      </c>
      <c r="AQ171" s="70"/>
      <c r="AR171" s="70"/>
      <c r="AS171" s="70"/>
      <c r="AT171" s="70"/>
      <c r="AU171" s="70">
        <f ca="1">MIN((1-G171),fw)</f>
        <v>0.0720000000000001</v>
      </c>
      <c r="AV171" s="70">
        <f ca="1" t="shared" si="27"/>
        <v>0</v>
      </c>
      <c r="AW171" s="70">
        <f ca="1">MIN((TEW-Y171)/(TEW-REW),1)</f>
        <v>0.12727820001996</v>
      </c>
      <c r="AX171" s="70">
        <f ca="1">MIN((TEW-Z171)/(TEW-REW),1)</f>
        <v>0.12727820001996</v>
      </c>
      <c r="AY171" s="70">
        <f ca="1">IF((AU171*(TEW-Y171))&gt;0,1/(1+((AV171*(TEW-Z171))/(AU171*(TEW-Y171)))),0)</f>
        <v>1</v>
      </c>
      <c r="AZ171" s="70">
        <f ca="1">MIN((AY171*AW171*(Kcmax-H171)),AU171*Kcmax)</f>
        <v>0.0132204748150653</v>
      </c>
      <c r="BA171" s="70">
        <f ca="1">MIN(((1-AY171)*AX171*(Kcmax-H171)),AV171*Kcmax)</f>
        <v>0</v>
      </c>
      <c r="BB171" s="70">
        <f ca="1" t="shared" si="28"/>
        <v>0.0158116878788181</v>
      </c>
      <c r="BC171" s="70">
        <f ca="1">MIN((R171-AA171)/(R171*(1-(p+0.04*(5-I170)))),1)</f>
        <v>1</v>
      </c>
      <c r="BD171" s="10">
        <f ca="1" t="shared" si="29"/>
        <v>1.25117065140504</v>
      </c>
      <c r="BE171" s="70">
        <f ca="1">MIN(IF((1-AA171/R171)&gt;0,(1-Y171/TEW)/(1-AA171/R171)*(Ze/P171)^0.6,0),1)*BC171*H171*B171</f>
        <v>0.525216869626008</v>
      </c>
      <c r="BF171" s="70">
        <f ca="1">MIN(IF((1-AA171/R171)&gt;0,(1-Z171/TEW)/(1-AA171/R171)*(Ze/P171)^0.6,0),1)*BC171*H171*B171</f>
        <v>0.525216869626008</v>
      </c>
      <c r="BH171" s="10">
        <f ca="1" t="shared" si="30"/>
        <v>0.0440714701165238</v>
      </c>
      <c r="BI171" s="10">
        <f ca="1">IF(F171&lt;&gt;"",(Moy_Etobs-F171)^2,"")</f>
        <v>0.0174129593166543</v>
      </c>
    </row>
    <row r="172" spans="1:61">
      <c r="A172" s="38">
        <v>39165</v>
      </c>
      <c r="B172" s="10">
        <v>1.198</v>
      </c>
      <c r="C172" s="39">
        <v>0.99</v>
      </c>
      <c r="D172">
        <v>0.849</v>
      </c>
      <c r="E172" s="39">
        <v>0</v>
      </c>
      <c r="F172" s="10">
        <v>1.6243884</v>
      </c>
      <c r="G172" s="10">
        <f ca="1">MIN(MAX(IF(AND(Durpla&gt;ROW()-MATCH(NDVImax,INDEX(D:D,Lig_min,1):INDEX(D:D,Lig_max,1),0)-Lig_min+1,ROW()-MATCH(NDVImax,INDEX(D:D,Lig_min,1):INDEX(D:D,Lig_max,1),0)-Lig_min+1&gt;0,D172*a_fc+b_fc&gt;fc_fin),NDVImax*a_fc+b_fc,D172*a_fc+b_fc),0),1)</f>
        <v>0.932</v>
      </c>
      <c r="H172" s="55">
        <f>MIN(MAX(D172*a_kcb+b_kcb,0),Kcmax)</f>
        <v>1.05063848524311</v>
      </c>
      <c r="I172" s="70">
        <f ca="1" t="shared" si="22"/>
        <v>1.27381547791116</v>
      </c>
      <c r="O172" s="55"/>
      <c r="P172" s="35">
        <f ca="1">IF(ROW()-MATCH(NDVImax,INDEX(D:D,Lig_min,1):INDEX(D:D,Lig_max,1),0)-Lig_min+1&gt;0,MAX(MIN(Zr_min+MAX(INDEX(G:G,Lig_min,1):INDEX(G:G,Lig_max,1))/MAX(MAX(INDEX(G:G,Lig_min,1):INDEX(G:G,Lig_max,1)),Max_fc_pour_Zrmax)*(Zr_max-Zr_min),Zr_max),Ze+0.001),MAX(MIN(Zr_min+G172/MAX(MAX(INDEX(G:G,Lig_min,1):INDEX(G:G,Lig_max,1)),Max_fc_pour_Zrmax)*(Zr_max-Zr_min),Zr_max),Ze+0.001))</f>
        <v>563.558256951024</v>
      </c>
      <c r="Q172" s="35">
        <f ca="1">IF(Z_sol&gt;0,Z_sol-P172,0.1)</f>
        <v>50.31629411341</v>
      </c>
      <c r="R172" s="35">
        <f ca="1">(Wfc-Wwp)*P172</f>
        <v>73.2625734036331</v>
      </c>
      <c r="S172" s="35">
        <f ca="1">(Wfc-Wwp)*Q172</f>
        <v>6.5411182347433</v>
      </c>
      <c r="T172" s="99">
        <f ca="1" t="shared" si="31"/>
        <v>0.744823656441448</v>
      </c>
      <c r="U172" s="99">
        <f ca="1" t="shared" si="32"/>
        <v>0.525216880346753</v>
      </c>
      <c r="V172" s="99">
        <f ca="1">IF(P172&gt;P171,IF(Q172&gt;1,MAX(AI171+(Wfc-Wwp)*(P172-P171)*AJ171/S171,0),AI171/P171*P172),MAX(AI171+(Wfc-Wwp)*(P172-P171)*AI171/R171,0))</f>
        <v>3.67561654275068</v>
      </c>
      <c r="W172" s="99">
        <f ca="1">IF(S172&gt;1,IF(P172&gt;P171,MAX(AJ171-(Wfc-Wwp)*(P172-P171)*AJ171/S171,0),MAX(AJ171-(Wfc-Wwp)*(P172-P171)*AI171/R171,0)),0)</f>
        <v>4.57544151956926e-7</v>
      </c>
      <c r="X172" s="99">
        <f ca="1">IF(AND(OR(AND(dec_vide_TAW&lt;0,V172&gt;R172*(p+0.04*(5-I171))),AND(dec_vide_TAW&gt;0,V172&gt;R172*dec_vide_TAW)),H172&gt;MAX(INDEX(H:H,Lig_min,1):INDEX(H:H,ROW(X172),1))*Kcbmax_stop_irrig*IF(ROW(X172)-lig_kcbmax&gt;0,1,0),MIN(INDEX(H:H,ROW(X172),1):INDEX(H:H,lig_kcbmax,1))&gt;Kcbmin_start_irrig),MIN(MAX(V172-E172*Irri_man-C172,0),Lame_max),0)</f>
        <v>0</v>
      </c>
      <c r="Y172" s="99">
        <f ca="1">MIN(MAX(T172-C172-IF(fw&gt;0,X172/fw*Irri_auto+E172/fw*Irri_man,0),0),TEW)</f>
        <v>0</v>
      </c>
      <c r="Z172" s="99">
        <f ca="1">MIN(MAX(U172-C172,0),TEW)</f>
        <v>0</v>
      </c>
      <c r="AA172" s="99">
        <f ca="1">MIN(MAX(V172-C172-(X172*Irri_auto+E172*Irri_man),0),R172)</f>
        <v>2.68561654275068</v>
      </c>
      <c r="AB172" s="99">
        <f ca="1">MIN(MAX(W172+MIN(V172-C172-(X172*Irri_auto+E172*Irri_man),0),0),S172)</f>
        <v>4.57544151956926e-7</v>
      </c>
      <c r="AC172" s="99">
        <f ca="1">-MIN(W172+MIN(V172-C172-(X172*Irri_auto+E172*Irri_man),0),0)</f>
        <v>0</v>
      </c>
      <c r="AD172" s="39">
        <f ca="1">IF(((R172-AA172)/P172-((Wfc-Wwp)*Ze-Y172)/Ze)/Wfc*DiffE&lt;0,MAX(((R172-AA172)/P172-((Wfc-Wwp)*Ze-Y172)/Ze)/Wfc*DiffE,(R172*Ze-((Wfc-Wwp)*Ze-Y172-AA172)*P172)/(P172+Ze)-AA172),MIN(((R172-AA172)/P172-((Wfc-Wwp)*Ze-Y172)/Ze)/Wfc*DiffE,(R172*Ze-((Wfc-Wwp)*Ze-Y172-AA172)*P172)/(P172+Ze)-AA172))</f>
        <v>-1.19136598107908e-8</v>
      </c>
      <c r="AE172" s="39">
        <f ca="1">IF(((R172-AA172)/P172-((Wfc-Wwp)*Ze-Z172)/Ze)/Wfc*DiffE&lt;0,MAX(((R172-AA172)/P172-((Wfc-Wwp)*Ze-Z172)/Ze)/Wfc*DiffE,(R172*Ze-((Wfc-Wwp)*Ze-Z172-AA172)*P172)/(P172+Ze)-AA172),MIN(((R172-AA172)/P172-((Wfc-Wwp)*Ze-Z172)/Ze)/Wfc*DiffE,(R172*Ze-((Wfc-Wwp)*Ze-Z172-AA172)*P172)/(P172+Ze)-AA172))</f>
        <v>-1.19136598107908e-8</v>
      </c>
      <c r="AF172" s="39">
        <f ca="1">IF(((S172-AB172)/Q172-(R172-AA172)/P172)/Wfc*DiffR&lt;0,MAX(((S172-AB172)/Q172-(R172-AA172)/P172)/Wfc*DiffR,(S172*P172-(R172-AA172-AB172)*Q172)/(P172+Q172)-AB172),MIN(((S172-AB172)/Q172-(R172-AA172)/P172)/Wfc*DiffR,(S172*P172-(R172-AA172-AB172)*Q172)/(P172+Q172)-AB172))</f>
        <v>1.1913637077392e-8</v>
      </c>
      <c r="AG172" s="99">
        <f ca="1">MIN(MAX(Y172+IF(AU172&gt;0,B172*AZ172/AU172,0)+BE172-AD172,0),TEW)</f>
        <v>0.75211496644735</v>
      </c>
      <c r="AH172" s="99">
        <f ca="1">MIN(MAX(Z172+IF(AV172&gt;0,B172*BA172/AV172,0)+BF172-AE172,0),TEW)</f>
        <v>0.529312428360324</v>
      </c>
      <c r="AI172" s="99">
        <f ca="1" t="shared" si="23"/>
        <v>3.9594320087482</v>
      </c>
      <c r="AJ172" s="99">
        <f ca="1" t="shared" si="24"/>
        <v>4.69457789034318e-7</v>
      </c>
      <c r="AK172" s="70">
        <f ca="1">IF((AU172+AV172)&gt;0,(TEW-(AG172*AU172+AH172*AV172)/(AU172+AV172))/TEW,(TEW-(AG172+AH172)/2)/TEW)</f>
        <v>0.977294642522344</v>
      </c>
      <c r="AL172" s="70">
        <f ca="1" t="shared" si="25"/>
        <v>0.945955597451729</v>
      </c>
      <c r="AM172" s="70">
        <f ca="1" t="shared" si="26"/>
        <v>0.999999928229735</v>
      </c>
      <c r="AN172" s="70">
        <f ca="1">Wwp+(Wfc-Wwp)*IF((AU172+AV172)&gt;0,(TEW-(AG172*AU172+AH172*AV172)/(AU172+AV172))/TEW,(TEW-(AG172+AH172)/2)/TEW)</f>
        <v>0.397048303527905</v>
      </c>
      <c r="AO172" s="70">
        <f ca="1">Wwp+(Wfc-Wwp)*(R172-AI172)/R172</f>
        <v>0.392974227668725</v>
      </c>
      <c r="AP172" s="70">
        <f ca="1">Wwp+(Wfc-Wwp)*(S172-AJ172)/S172</f>
        <v>0.399999990669866</v>
      </c>
      <c r="AQ172" s="70"/>
      <c r="AR172" s="70"/>
      <c r="AS172" s="70"/>
      <c r="AT172" s="70"/>
      <c r="AU172" s="70">
        <f ca="1">MIN((1-G172),fw)</f>
        <v>0.0680000000000001</v>
      </c>
      <c r="AV172" s="70">
        <f ca="1" t="shared" si="27"/>
        <v>0</v>
      </c>
      <c r="AW172" s="70">
        <f ca="1">MIN((TEW-Y172)/(TEW-REW),1)</f>
        <v>0.12727820001996</v>
      </c>
      <c r="AX172" s="70">
        <f ca="1">MIN((TEW-Z172)/(TEW-REW),1)</f>
        <v>0.12727820001996</v>
      </c>
      <c r="AY172" s="70">
        <f ca="1">IF((AU172*(TEW-Y172))&gt;0,1/(1+((AV172*(TEW-Z172))/(AU172*(TEW-Y172)))),0)</f>
        <v>1</v>
      </c>
      <c r="AZ172" s="70">
        <f ca="1">MIN((AY172*AW172*(Kcmax-H172)),AU172*Kcmax)</f>
        <v>0.012646554749514</v>
      </c>
      <c r="BA172" s="70">
        <f ca="1">MIN(((1-AY172)*AX172*(Kcmax-H172)),AV172*Kcmax)</f>
        <v>0</v>
      </c>
      <c r="BB172" s="70">
        <f ca="1" t="shared" si="28"/>
        <v>0.0151505725899178</v>
      </c>
      <c r="BC172" s="70">
        <f ca="1">MIN((R172-AA172)/(R172*(1-(p+0.04*(5-I171)))),1)</f>
        <v>1</v>
      </c>
      <c r="BD172" s="10">
        <f ca="1" t="shared" si="29"/>
        <v>1.25866490532124</v>
      </c>
      <c r="BE172" s="70">
        <f ca="1">MIN(IF((1-AA172/R172)&gt;0,(1-Y172/TEW)/(1-AA172/R172)*(Ze/P172)^0.6,0),1)*BC172*H172*B172</f>
        <v>0.529312416446664</v>
      </c>
      <c r="BF172" s="70">
        <f ca="1">MIN(IF((1-AA172/R172)&gt;0,(1-Z172/TEW)/(1-AA172/R172)*(Ze/P172)^0.6,0),1)*BC172*H172*B172</f>
        <v>0.529312416446664</v>
      </c>
      <c r="BH172" s="10">
        <f ca="1" t="shared" si="30"/>
        <v>0.122901373701908</v>
      </c>
      <c r="BI172" s="10">
        <f ca="1">IF(F172&lt;&gt;"",(Moy_Etobs-F172)^2,"")</f>
        <v>0.000240740899821584</v>
      </c>
    </row>
    <row r="173" spans="1:61">
      <c r="A173" s="38">
        <v>39166</v>
      </c>
      <c r="B173" s="10">
        <v>0.804</v>
      </c>
      <c r="C173" s="39">
        <v>5.544</v>
      </c>
      <c r="D173">
        <v>0.852</v>
      </c>
      <c r="E173" s="39">
        <v>0</v>
      </c>
      <c r="F173" s="10">
        <v>0.9351288</v>
      </c>
      <c r="G173" s="10">
        <f ca="1">MIN(MAX(IF(AND(Durpla&gt;ROW()-MATCH(NDVImax,INDEX(D:D,Lig_min,1):INDEX(D:D,Lig_max,1),0)-Lig_min+1,ROW()-MATCH(NDVImax,INDEX(D:D,Lig_min,1):INDEX(D:D,Lig_max,1),0)-Lig_min+1&gt;0,D173*a_fc+b_fc&gt;fc_fin),NDVImax*a_fc+b_fc,D173*a_fc+b_fc),0),1)</f>
        <v>0.936</v>
      </c>
      <c r="H173" s="55">
        <f>MIN(MAX(D173*a_kcb+b_kcb,0),Kcmax)</f>
        <v>1.05514766329136</v>
      </c>
      <c r="I173" s="70">
        <f ca="1" t="shared" si="22"/>
        <v>0.85804511957216</v>
      </c>
      <c r="O173" s="55"/>
      <c r="P173" s="35">
        <f ca="1">IF(ROW()-MATCH(NDVImax,INDEX(D:D,Lig_min,1):INDEX(D:D,Lig_max,1),0)-Lig_min+1&gt;0,MAX(MIN(Zr_min+MAX(INDEX(G:G,Lig_min,1):INDEX(G:G,Lig_max,1))/MAX(MAX(INDEX(G:G,Lig_min,1):INDEX(G:G,Lig_max,1)),Max_fc_pour_Zrmax)*(Zr_max-Zr_min),Zr_max),Ze+0.001),MAX(MIN(Zr_min+G173/MAX(MAX(INDEX(G:G,Lig_min,1):INDEX(G:G,Lig_max,1)),Max_fc_pour_Zrmax)*(Zr_max-Zr_min),Zr_max),Ze+0.001))</f>
        <v>565.440481229784</v>
      </c>
      <c r="Q173" s="35">
        <f ca="1">IF(Z_sol&gt;0,Z_sol-P173,0.1)</f>
        <v>48.4340698346501</v>
      </c>
      <c r="R173" s="35">
        <f ca="1">(Wfc-Wwp)*P173</f>
        <v>73.5072625598719</v>
      </c>
      <c r="S173" s="35">
        <f ca="1">(Wfc-Wwp)*Q173</f>
        <v>6.29642907850452</v>
      </c>
      <c r="T173" s="99">
        <f ca="1" t="shared" si="31"/>
        <v>0.75211496644735</v>
      </c>
      <c r="U173" s="99">
        <f ca="1" t="shared" si="32"/>
        <v>0.529312428360324</v>
      </c>
      <c r="V173" s="99">
        <f ca="1">IF(P173&gt;P172,IF(Q173&gt;1,MAX(AI172+(Wfc-Wwp)*(P173-P172)*AJ172/S172,0),AI172/P172*P173),MAX(AI172+(Wfc-Wwp)*(P173-P172)*AI172/R172,0))</f>
        <v>3.9594320263096</v>
      </c>
      <c r="W173" s="99">
        <f ca="1">IF(S173&gt;1,IF(P173&gt;P172,MAX(AJ172-(Wfc-Wwp)*(P173-P172)*AJ172/S172,0),MAX(AJ172-(Wfc-Wwp)*(P173-P172)*AI172/R172,0)),0)</f>
        <v>4.51896383451035e-7</v>
      </c>
      <c r="X173" s="99">
        <f ca="1">IF(AND(OR(AND(dec_vide_TAW&lt;0,V173&gt;R173*(p+0.04*(5-I172))),AND(dec_vide_TAW&gt;0,V173&gt;R173*dec_vide_TAW)),H173&gt;MAX(INDEX(H:H,Lig_min,1):INDEX(H:H,ROW(X173),1))*Kcbmax_stop_irrig*IF(ROW(X173)-lig_kcbmax&gt;0,1,0),MIN(INDEX(H:H,ROW(X173),1):INDEX(H:H,lig_kcbmax,1))&gt;Kcbmin_start_irrig),MIN(MAX(V173-E173*Irri_man-C173,0),Lame_max),0)</f>
        <v>0</v>
      </c>
      <c r="Y173" s="99">
        <f ca="1">MIN(MAX(T173-C173-IF(fw&gt;0,X173/fw*Irri_auto+E173/fw*Irri_man,0),0),TEW)</f>
        <v>0</v>
      </c>
      <c r="Z173" s="99">
        <f ca="1">MIN(MAX(U173-C173,0),TEW)</f>
        <v>0</v>
      </c>
      <c r="AA173" s="99">
        <f ca="1">MIN(MAX(V173-C173-(X173*Irri_auto+E173*Irri_man),0),R173)</f>
        <v>0</v>
      </c>
      <c r="AB173" s="99">
        <f ca="1">MIN(MAX(W173+MIN(V173-C173-(X173*Irri_auto+E173*Irri_man),0),0),S173)</f>
        <v>0</v>
      </c>
      <c r="AC173" s="99">
        <f ca="1">-MIN(W173+MIN(V173-C173-(X173*Irri_auto+E173*Irri_man),0),0)</f>
        <v>1.58456752179401</v>
      </c>
      <c r="AD173" s="39">
        <f ca="1">IF(((R173-AA173)/P173-((Wfc-Wwp)*Ze-Y173)/Ze)/Wfc*DiffE&lt;0,MAX(((R173-AA173)/P173-((Wfc-Wwp)*Ze-Y173)/Ze)/Wfc*DiffE,(R173*Ze-((Wfc-Wwp)*Ze-Y173-AA173)*P173)/(P173+Ze)-AA173),MIN(((R173-AA173)/P173-((Wfc-Wwp)*Ze-Y173)/Ze)/Wfc*DiffE,(R173*Ze-((Wfc-Wwp)*Ze-Y173-AA173)*P173)/(P173+Ze)-AA173))</f>
        <v>0</v>
      </c>
      <c r="AE173" s="39">
        <f ca="1">IF(((R173-AA173)/P173-((Wfc-Wwp)*Ze-Z173)/Ze)/Wfc*DiffE&lt;0,MAX(((R173-AA173)/P173-((Wfc-Wwp)*Ze-Z173)/Ze)/Wfc*DiffE,(R173*Ze-((Wfc-Wwp)*Ze-Z173-AA173)*P173)/(P173+Ze)-AA173),MIN(((R173-AA173)/P173-((Wfc-Wwp)*Ze-Z173)/Ze)/Wfc*DiffE,(R173*Ze-((Wfc-Wwp)*Ze-Z173-AA173)*P173)/(P173+Ze)-AA173))</f>
        <v>0</v>
      </c>
      <c r="AF173" s="39">
        <f ca="1">IF(((S173-AB173)/Q173-(R173-AA173)/P173)/Wfc*DiffR&lt;0,MAX(((S173-AB173)/Q173-(R173-AA173)/P173)/Wfc*DiffR,(S173*P173-(R173-AA173-AB173)*Q173)/(P173+Q173)-AB173),MIN(((S173-AB173)/Q173-(R173-AA173)/P173)/Wfc*DiffR,(S173*P173-(R173-AA173-AB173)*Q173)/(P173+Q173)-AB173))</f>
        <v>0</v>
      </c>
      <c r="AG173" s="99">
        <f ca="1">MIN(MAX(Y173+IF(AU173&gt;0,B173*AZ173/AU173,0)+BE173-AD173,0),TEW)</f>
        <v>0.494653816902399</v>
      </c>
      <c r="AH173" s="99">
        <f ca="1">MIN(MAX(Z173+IF(AV173&gt;0,B173*BA173/AV173,0)+BF173-AE173,0),TEW)</f>
        <v>0.342991343685118</v>
      </c>
      <c r="AI173" s="99">
        <f ca="1" t="shared" si="23"/>
        <v>0.85804511957216</v>
      </c>
      <c r="AJ173" s="99">
        <f ca="1" t="shared" si="24"/>
        <v>0</v>
      </c>
      <c r="AK173" s="70">
        <f ca="1">IF((AU173+AV173)&gt;0,(TEW-(AG173*AU173+AH173*AV173)/(AU173+AV173))/TEW,(TEW-(AG173+AH173)/2)/TEW)</f>
        <v>0.985067054584079</v>
      </c>
      <c r="AL173" s="70">
        <f ca="1" t="shared" si="25"/>
        <v>0.988327070146664</v>
      </c>
      <c r="AM173" s="70">
        <f ca="1" t="shared" si="26"/>
        <v>1</v>
      </c>
      <c r="AN173" s="70">
        <f ca="1">Wwp+(Wfc-Wwp)*IF((AU173+AV173)&gt;0,(TEW-(AG173*AU173+AH173*AV173)/(AU173+AV173))/TEW,(TEW-(AG173+AH173)/2)/TEW)</f>
        <v>0.39805871709593</v>
      </c>
      <c r="AO173" s="70">
        <f ca="1">Wwp+(Wfc-Wwp)*(R173-AI173)/R173</f>
        <v>0.398482519119066</v>
      </c>
      <c r="AP173" s="70">
        <f ca="1">Wwp+(Wfc-Wwp)*(S173-AJ173)/S173</f>
        <v>0.4</v>
      </c>
      <c r="AQ173" s="70"/>
      <c r="AR173" s="70"/>
      <c r="AS173" s="70"/>
      <c r="AT173" s="70"/>
      <c r="AU173" s="70">
        <f ca="1">MIN((1-G173),fw)</f>
        <v>0.0640000000000001</v>
      </c>
      <c r="AV173" s="70">
        <f ca="1" t="shared" si="27"/>
        <v>0</v>
      </c>
      <c r="AW173" s="70">
        <f ca="1">MIN((TEW-Y173)/(TEW-REW),1)</f>
        <v>0.12727820001996</v>
      </c>
      <c r="AX173" s="70">
        <f ca="1">MIN((TEW-Z173)/(TEW-REW),1)</f>
        <v>0.12727820001996</v>
      </c>
      <c r="AY173" s="70">
        <f ca="1">IF((AU173*(TEW-Y173))&gt;0,1/(1+((AV173*(TEW-Z173))/(AU173*(TEW-Y173)))),0)</f>
        <v>1</v>
      </c>
      <c r="AZ173" s="70">
        <f ca="1">MIN((AY173*AW173*(Kcmax-H173)),AU173*Kcmax)</f>
        <v>0.0120726346839627</v>
      </c>
      <c r="BA173" s="70">
        <f ca="1">MIN(((1-AY173)*AX173*(Kcmax-H173)),AV173*Kcmax)</f>
        <v>0</v>
      </c>
      <c r="BB173" s="70">
        <f ca="1" t="shared" si="28"/>
        <v>0.00970639828590604</v>
      </c>
      <c r="BC173" s="70">
        <f ca="1">MIN((R173-AA173)/(R173*(1-(p+0.04*(5-I172)))),1)</f>
        <v>1</v>
      </c>
      <c r="BD173" s="10">
        <f ca="1" t="shared" si="29"/>
        <v>0.848338721286254</v>
      </c>
      <c r="BE173" s="70">
        <f ca="1">MIN(IF((1-AA173/R173)&gt;0,(1-Y173/TEW)/(1-AA173/R173)*(Ze/P173)^0.6,0),1)*BC173*H173*B173</f>
        <v>0.342991343685118</v>
      </c>
      <c r="BF173" s="70">
        <f ca="1">MIN(IF((1-AA173/R173)&gt;0,(1-Z173/TEW)/(1-AA173/R173)*(Ze/P173)^0.6,0),1)*BC173*H173*B173</f>
        <v>0.342991343685118</v>
      </c>
      <c r="BH173" s="10">
        <f ca="1" t="shared" si="30"/>
        <v>0.00594189378830129</v>
      </c>
      <c r="BI173" s="10">
        <f ca="1">IF(F173&lt;&gt;"",(Moy_Etobs-F173)^2,"")</f>
        <v>0.453930671120972</v>
      </c>
    </row>
    <row r="174" spans="1:61">
      <c r="A174" s="38">
        <v>39167</v>
      </c>
      <c r="B174" s="10">
        <v>1.947</v>
      </c>
      <c r="C174" s="39">
        <v>0.198</v>
      </c>
      <c r="D174">
        <v>0.855</v>
      </c>
      <c r="E174" s="39">
        <v>0</v>
      </c>
      <c r="F174" s="10">
        <v>1.7901756</v>
      </c>
      <c r="G174" s="10">
        <f ca="1">MIN(MAX(IF(AND(Durpla&gt;ROW()-MATCH(NDVImax,INDEX(D:D,Lig_min,1):INDEX(D:D,Lig_max,1),0)-Lig_min+1,ROW()-MATCH(NDVImax,INDEX(D:D,Lig_min,1):INDEX(D:D,Lig_max,1),0)-Lig_min+1&gt;0,D174*a_fc+b_fc&gt;fc_fin),NDVImax*a_fc+b_fc,D174*a_fc+b_fc),0),1)</f>
        <v>0.94</v>
      </c>
      <c r="H174" s="55">
        <f>MIN(MAX(D174*a_kcb+b_kcb,0),Kcmax)</f>
        <v>1.05965684133961</v>
      </c>
      <c r="I174" s="70">
        <f ca="1" t="shared" si="22"/>
        <v>2.08533936979382</v>
      </c>
      <c r="O174" s="55"/>
      <c r="P174" s="35">
        <f ca="1">IF(ROW()-MATCH(NDVImax,INDEX(D:D,Lig_min,1):INDEX(D:D,Lig_max,1),0)-Lig_min+1&gt;0,MAX(MIN(Zr_min+MAX(INDEX(G:G,Lig_min,1):INDEX(G:G,Lig_max,1))/MAX(MAX(INDEX(G:G,Lig_min,1):INDEX(G:G,Lig_max,1)),Max_fc_pour_Zrmax)*(Zr_max-Zr_min),Zr_max),Ze+0.001),MAX(MIN(Zr_min+G174/MAX(MAX(INDEX(G:G,Lig_min,1):INDEX(G:G,Lig_max,1)),Max_fc_pour_Zrmax)*(Zr_max-Zr_min),Zr_max),Ze+0.001))</f>
        <v>567.322705508544</v>
      </c>
      <c r="Q174" s="35">
        <f ca="1">IF(Z_sol&gt;0,Z_sol-P174,0.1)</f>
        <v>46.5518455558905</v>
      </c>
      <c r="R174" s="35">
        <f ca="1">(Wfc-Wwp)*P174</f>
        <v>73.7519517161107</v>
      </c>
      <c r="S174" s="35">
        <f ca="1">(Wfc-Wwp)*Q174</f>
        <v>6.05173992226577</v>
      </c>
      <c r="T174" s="99">
        <f ca="1" t="shared" si="31"/>
        <v>0.494653816902399</v>
      </c>
      <c r="U174" s="99">
        <f ca="1" t="shared" si="32"/>
        <v>0.342991343685118</v>
      </c>
      <c r="V174" s="99">
        <f ca="1">IF(P174&gt;P173,IF(Q174&gt;1,MAX(AI173+(Wfc-Wwp)*(P174-P173)*AJ173/S173,0),AI173/P173*P174),MAX(AI173+(Wfc-Wwp)*(P174-P173)*AI173/R173,0))</f>
        <v>0.85804511957216</v>
      </c>
      <c r="W174" s="99">
        <f ca="1">IF(S174&gt;1,IF(P174&gt;P173,MAX(AJ173-(Wfc-Wwp)*(P174-P173)*AJ173/S173,0),MAX(AJ173-(Wfc-Wwp)*(P174-P173)*AI173/R173,0)),0)</f>
        <v>0</v>
      </c>
      <c r="X174" s="99">
        <f ca="1">IF(AND(OR(AND(dec_vide_TAW&lt;0,V174&gt;R174*(p+0.04*(5-I173))),AND(dec_vide_TAW&gt;0,V174&gt;R174*dec_vide_TAW)),H174&gt;MAX(INDEX(H:H,Lig_min,1):INDEX(H:H,ROW(X174),1))*Kcbmax_stop_irrig*IF(ROW(X174)-lig_kcbmax&gt;0,1,0),MIN(INDEX(H:H,ROW(X174),1):INDEX(H:H,lig_kcbmax,1))&gt;Kcbmin_start_irrig),MIN(MAX(V174-E174*Irri_man-C174,0),Lame_max),0)</f>
        <v>0</v>
      </c>
      <c r="Y174" s="99">
        <f ca="1">MIN(MAX(T174-C174-IF(fw&gt;0,X174/fw*Irri_auto+E174/fw*Irri_man,0),0),TEW)</f>
        <v>0.296653816902399</v>
      </c>
      <c r="Z174" s="99">
        <f ca="1">MIN(MAX(U174-C174,0),TEW)</f>
        <v>0.144991343685118</v>
      </c>
      <c r="AA174" s="99">
        <f ca="1">MIN(MAX(V174-C174-(X174*Irri_auto+E174*Irri_man),0),R174)</f>
        <v>0.66004511957216</v>
      </c>
      <c r="AB174" s="99">
        <f ca="1">MIN(MAX(W174+MIN(V174-C174-(X174*Irri_auto+E174*Irri_man),0),0),S174)</f>
        <v>0</v>
      </c>
      <c r="AC174" s="99">
        <f ca="1">-MIN(W174+MIN(V174-C174-(X174*Irri_auto+E174*Irri_man),0),0)</f>
        <v>0</v>
      </c>
      <c r="AD174" s="39">
        <f ca="1">IF(((R174-AA174)/P174-((Wfc-Wwp)*Ze-Y174)/Ze)/Wfc*DiffE&lt;0,MAX(((R174-AA174)/P174-((Wfc-Wwp)*Ze-Y174)/Ze)/Wfc*DiffE,(R174*Ze-((Wfc-Wwp)*Ze-Y174-AA174)*P174)/(P174+Ze)-AA174),MIN(((R174-AA174)/P174-((Wfc-Wwp)*Ze-Y174)/Ze)/Wfc*DiffE,(R174*Ze-((Wfc-Wwp)*Ze-Y174-AA174)*P174)/(P174+Ze)-AA174))</f>
        <v>3.02447990270661e-9</v>
      </c>
      <c r="AE174" s="39">
        <f ca="1">IF(((R174-AA174)/P174-((Wfc-Wwp)*Ze-Z174)/Ze)/Wfc*DiffE&lt;0,MAX(((R174-AA174)/P174-((Wfc-Wwp)*Ze-Z174)/Ze)/Wfc*DiffE,(R174*Ze-((Wfc-Wwp)*Ze-Z174-AA174)*P174)/(P174+Ze)-AA174),MIN(((R174-AA174)/P174-((Wfc-Wwp)*Ze-Z174)/Ze)/Wfc*DiffE,(R174*Ze-((Wfc-Wwp)*Ze-Z174-AA174)*P174)/(P174+Ze)-AA174))</f>
        <v>-8.76956163901876e-12</v>
      </c>
      <c r="AF174" s="39">
        <f ca="1">IF(((S174-AB174)/Q174-(R174-AA174)/P174)/Wfc*DiffR&lt;0,MAX(((S174-AB174)/Q174-(R174-AA174)/P174)/Wfc*DiffR,(S174*P174-(R174-AA174-AB174)*Q174)/(P174+Q174)-AB174),MIN(((S174-AB174)/Q174-(R174-AA174)/P174)/Wfc*DiffR,(S174*P174-(R174-AA174-AB174)*Q174)/(P174+Q174)-AB174))</f>
        <v>2.9085964353414e-9</v>
      </c>
      <c r="AG174" s="99">
        <f ca="1">MIN(MAX(Y174+IF(AU174&gt;0,B174*AZ174/AU174,0)+BE174-AD174,0),TEW)</f>
        <v>1.49893054109523</v>
      </c>
      <c r="AH174" s="99">
        <f ca="1">MIN(MAX(Z174+IF(AV174&gt;0,B174*BA174/AV174,0)+BF174-AE174,0),TEW)</f>
        <v>0.981322376390816</v>
      </c>
      <c r="AI174" s="99">
        <f ca="1" t="shared" si="23"/>
        <v>2.74538448645738</v>
      </c>
      <c r="AJ174" s="99">
        <f ca="1" t="shared" si="24"/>
        <v>2.9085964353414e-9</v>
      </c>
      <c r="AK174" s="70">
        <f ca="1">IF((AU174+AV174)&gt;0,(TEW-(AG174*AU174+AH174*AV174)/(AU174+AV174))/TEW,(TEW-(AG174+AH174)/2)/TEW)</f>
        <v>0.954749266683918</v>
      </c>
      <c r="AL174" s="70">
        <f ca="1" t="shared" si="25"/>
        <v>0.96277543275024</v>
      </c>
      <c r="AM174" s="70">
        <f ca="1" t="shared" si="26"/>
        <v>0.999999999519379</v>
      </c>
      <c r="AN174" s="70">
        <f ca="1">Wwp+(Wfc-Wwp)*IF((AU174+AV174)&gt;0,(TEW-(AG174*AU174+AH174*AV174)/(AU174+AV174))/TEW,(TEW-(AG174+AH174)/2)/TEW)</f>
        <v>0.394117404668909</v>
      </c>
      <c r="AO174" s="70">
        <f ca="1">Wwp+(Wfc-Wwp)*(R174-AI174)/R174</f>
        <v>0.395160806257531</v>
      </c>
      <c r="AP174" s="70">
        <f ca="1">Wwp+(Wfc-Wwp)*(S174-AJ174)/S174</f>
        <v>0.399999999937519</v>
      </c>
      <c r="AQ174" s="70"/>
      <c r="AR174" s="70"/>
      <c r="AS174" s="70"/>
      <c r="AT174" s="70"/>
      <c r="AU174" s="70">
        <f ca="1">MIN((1-G174),fw)</f>
        <v>0.0600000000000001</v>
      </c>
      <c r="AV174" s="70">
        <f ca="1" t="shared" si="27"/>
        <v>0</v>
      </c>
      <c r="AW174" s="70">
        <f ca="1">MIN((TEW-Y174)/(TEW-REW),1)</f>
        <v>0.126138349035979</v>
      </c>
      <c r="AX174" s="70">
        <f ca="1">MIN((TEW-Z174)/(TEW-REW),1)</f>
        <v>0.126721090971124</v>
      </c>
      <c r="AY174" s="70">
        <f ca="1">IF((AU174*(TEW-Y174))&gt;0,1/(1+((AV174*(TEW-Z174))/(AU174*(TEW-Y174)))),0)</f>
        <v>1</v>
      </c>
      <c r="AZ174" s="70">
        <f ca="1">MIN((AY174*AW174*(Kcmax-H174)),AU174*Kcmax)</f>
        <v>0.0113957368801165</v>
      </c>
      <c r="BA174" s="70">
        <f ca="1">MIN(((1-AY174)*AX174*(Kcmax-H174)),AV174*Kcmax)</f>
        <v>0</v>
      </c>
      <c r="BB174" s="70">
        <f ca="1" t="shared" si="28"/>
        <v>0.0221874997055868</v>
      </c>
      <c r="BC174" s="70">
        <f ca="1">MIN((R174-AA174)/(R174*(1-(p+0.04*(5-I173)))),1)</f>
        <v>1</v>
      </c>
      <c r="BD174" s="10">
        <f ca="1" t="shared" si="29"/>
        <v>2.06315187008823</v>
      </c>
      <c r="BE174" s="70">
        <f ca="1">MIN(IF((1-AA174/R174)&gt;0,(1-Y174/TEW)/(1-AA174/R174)*(Ze/P174)^0.6,0),1)*BC174*H174*B174</f>
        <v>0.832485065457533</v>
      </c>
      <c r="BF174" s="70">
        <f ca="1">MIN(IF((1-AA174/R174)&gt;0,(1-Z174/TEW)/(1-AA174/R174)*(Ze/P174)^0.6,0),1)*BC174*H174*B174</f>
        <v>0.836331032696929</v>
      </c>
      <c r="BH174" s="10">
        <f ca="1" t="shared" si="30"/>
        <v>0.0871216509988973</v>
      </c>
      <c r="BI174" s="10">
        <f ca="1">IF(F174&lt;&gt;"",(Moy_Etobs-F174)^2,"")</f>
        <v>0.0328707877434119</v>
      </c>
    </row>
    <row r="175" spans="1:61">
      <c r="A175" s="38">
        <v>39168</v>
      </c>
      <c r="B175" s="10">
        <v>2.633</v>
      </c>
      <c r="C175" s="39">
        <v>0</v>
      </c>
      <c r="D175">
        <v>0.859</v>
      </c>
      <c r="E175" s="39">
        <v>0</v>
      </c>
      <c r="F175" s="10">
        <v>2.119932</v>
      </c>
      <c r="G175" s="10">
        <f ca="1">MIN(MAX(IF(AND(Durpla&gt;ROW()-MATCH(NDVImax,INDEX(D:D,Lig_min,1):INDEX(D:D,Lig_max,1),0)-Lig_min+1,ROW()-MATCH(NDVImax,INDEX(D:D,Lig_min,1):INDEX(D:D,Lig_max,1),0)-Lig_min+1&gt;0,D175*a_fc+b_fc&gt;fc_fin),NDVImax*a_fc+b_fc,D175*a_fc+b_fc),0),1)</f>
        <v>0.945333333333333</v>
      </c>
      <c r="H175" s="55">
        <f>MIN(MAX(D175*a_kcb+b_kcb,0),Kcmax)</f>
        <v>1.06566907873729</v>
      </c>
      <c r="I175" s="70">
        <f ca="1" t="shared" si="22"/>
        <v>2.83288911450965</v>
      </c>
      <c r="O175" s="55"/>
      <c r="P175" s="35">
        <f ca="1">IF(ROW()-MATCH(NDVImax,INDEX(D:D,Lig_min,1):INDEX(D:D,Lig_max,1),0)-Lig_min+1&gt;0,MAX(MIN(Zr_min+MAX(INDEX(G:G,Lig_min,1):INDEX(G:G,Lig_max,1))/MAX(MAX(INDEX(G:G,Lig_min,1):INDEX(G:G,Lig_max,1)),Max_fc_pour_Zrmax)*(Zr_max-Zr_min),Zr_max),Ze+0.001),MAX(MIN(Zr_min+G175/MAX(MAX(INDEX(G:G,Lig_min,1):INDEX(G:G,Lig_max,1)),Max_fc_pour_Zrmax)*(Zr_max-Zr_min),Zr_max),Ze+0.001))</f>
        <v>569.832337880223</v>
      </c>
      <c r="Q175" s="35">
        <f ca="1">IF(Z_sol&gt;0,Z_sol-P175,0.1)</f>
        <v>44.0422131842107</v>
      </c>
      <c r="R175" s="35">
        <f ca="1">(Wfc-Wwp)*P175</f>
        <v>74.078203924429</v>
      </c>
      <c r="S175" s="35">
        <f ca="1">(Wfc-Wwp)*Q175</f>
        <v>5.72548771394739</v>
      </c>
      <c r="T175" s="99">
        <f ca="1" t="shared" si="31"/>
        <v>1.49893054109523</v>
      </c>
      <c r="U175" s="99">
        <f ca="1" t="shared" si="32"/>
        <v>0.981322376390816</v>
      </c>
      <c r="V175" s="99">
        <f ca="1">IF(P175&gt;P174,IF(Q175&gt;1,MAX(AI174+(Wfc-Wwp)*(P175-P174)*AJ174/S174,0),AI174/P174*P175),MAX(AI174+(Wfc-Wwp)*(P175-P174)*AI174/R174,0))</f>
        <v>2.74538448661418</v>
      </c>
      <c r="W175" s="99">
        <f ca="1">IF(S175&gt;1,IF(P175&gt;P174,MAX(AJ174-(Wfc-Wwp)*(P175-P174)*AJ174/S174,0),MAX(AJ174-(Wfc-Wwp)*(P175-P174)*AI174/R174,0)),0)</f>
        <v>2.75179260333175e-9</v>
      </c>
      <c r="X175" s="99">
        <f ca="1">IF(AND(OR(AND(dec_vide_TAW&lt;0,V175&gt;R175*(p+0.04*(5-I174))),AND(dec_vide_TAW&gt;0,V175&gt;R175*dec_vide_TAW)),H175&gt;MAX(INDEX(H:H,Lig_min,1):INDEX(H:H,ROW(X175),1))*Kcbmax_stop_irrig*IF(ROW(X175)-lig_kcbmax&gt;0,1,0),MIN(INDEX(H:H,ROW(X175),1):INDEX(H:H,lig_kcbmax,1))&gt;Kcbmin_start_irrig),MIN(MAX(V175-E175*Irri_man-C175,0),Lame_max),0)</f>
        <v>0</v>
      </c>
      <c r="Y175" s="99">
        <f ca="1">MIN(MAX(T175-C175-IF(fw&gt;0,X175/fw*Irri_auto+E175/fw*Irri_man,0),0),TEW)</f>
        <v>1.49893054109523</v>
      </c>
      <c r="Z175" s="99">
        <f ca="1">MIN(MAX(U175-C175,0),TEW)</f>
        <v>0.981322376390816</v>
      </c>
      <c r="AA175" s="99">
        <f ca="1">MIN(MAX(V175-C175-(X175*Irri_auto+E175*Irri_man),0),R175)</f>
        <v>2.74538448661418</v>
      </c>
      <c r="AB175" s="99">
        <f ca="1">MIN(MAX(W175+MIN(V175-C175-(X175*Irri_auto+E175*Irri_man),0),0),S175)</f>
        <v>2.75179260333175e-9</v>
      </c>
      <c r="AC175" s="99">
        <f ca="1">-MIN(W175+MIN(V175-C175-(X175*Irri_auto+E175*Irri_man),0),0)</f>
        <v>0</v>
      </c>
      <c r="AD175" s="39">
        <f ca="1">IF(((R175-AA175)/P175-((Wfc-Wwp)*Ze-Y175)/Ze)/Wfc*DiffE&lt;0,MAX(((R175-AA175)/P175-((Wfc-Wwp)*Ze-Y175)/Ze)/Wfc*DiffE,(R175*Ze-((Wfc-Wwp)*Ze-Y175-AA175)*P175)/(P175+Ze)-AA175),MIN(((R175-AA175)/P175-((Wfc-Wwp)*Ze-Y175)/Ze)/Wfc*DiffE,(R175*Ze-((Wfc-Wwp)*Ze-Y175-AA175)*P175)/(P175+Ze)-AA175))</f>
        <v>1.79339079149627e-8</v>
      </c>
      <c r="AE175" s="39">
        <f ca="1">IF(((R175-AA175)/P175-((Wfc-Wwp)*Ze-Z175)/Ze)/Wfc*DiffE&lt;0,MAX(((R175-AA175)/P175-((Wfc-Wwp)*Ze-Z175)/Ze)/Wfc*DiffE,(R175*Ze-((Wfc-Wwp)*Ze-Z175-AA175)*P175)/(P175+Ze)-AA175),MIN(((R175-AA175)/P175-((Wfc-Wwp)*Ze-Z175)/Ze)/Wfc*DiffE,(R175*Ze-((Wfc-Wwp)*Ze-Z175-AA175)*P175)/(P175+Ze)-AA175))</f>
        <v>7.58174462087435e-9</v>
      </c>
      <c r="AF175" s="39">
        <f ca="1">IF(((S175-AB175)/Q175-(R175-AA175)/P175)/Wfc*DiffR&lt;0,MAX(((S175-AB175)/Q175-(R175-AA175)/P175)/Wfc*DiffR,(S175*P175-(R175-AA175-AB175)*Q175)/(P175+Q175)-AB175),MIN(((S175-AB175)/Q175-(R175-AA175)/P175)/Wfc*DiffR,(S175*P175-(R175-AA175-AB175)*Q175)/(P175+Q175)-AB175))</f>
        <v>1.204470275074e-8</v>
      </c>
      <c r="AG175" s="99">
        <f ca="1">MIN(MAX(Y175+IF(AU175&gt;0,B175*AZ175/AU175,0)+BE175-AD175,0),TEW)</f>
        <v>3.11210762995058</v>
      </c>
      <c r="AH175" s="99">
        <f ca="1">MIN(MAX(Z175+IF(AV175&gt;0,B175*BA175/AV175,0)+BF175-AE175,0),TEW)</f>
        <v>2.11924230798346</v>
      </c>
      <c r="AI175" s="99">
        <f ca="1" t="shared" si="23"/>
        <v>5.57827358907913</v>
      </c>
      <c r="AJ175" s="99">
        <f ca="1" t="shared" si="24"/>
        <v>1.47964953540717e-8</v>
      </c>
      <c r="AK175" s="70">
        <f ca="1">IF((AU175+AV175)&gt;0,(TEW-(AG175*AU175+AH175*AV175)/(AU175+AV175))/TEW,(TEW-(AG175+AH175)/2)/TEW)</f>
        <v>0.906049580982624</v>
      </c>
      <c r="AL175" s="70">
        <f ca="1" t="shared" si="25"/>
        <v>0.92469750488592</v>
      </c>
      <c r="AM175" s="70">
        <f ca="1" t="shared" si="26"/>
        <v>0.999999997415679</v>
      </c>
      <c r="AN175" s="70">
        <f ca="1">Wwp+(Wfc-Wwp)*IF((AU175+AV175)&gt;0,(TEW-(AG175*AU175+AH175*AV175)/(AU175+AV175))/TEW,(TEW-(AG175+AH175)/2)/TEW)</f>
        <v>0.387786445527741</v>
      </c>
      <c r="AO175" s="70">
        <f ca="1">Wwp+(Wfc-Wwp)*(R175-AI175)/R175</f>
        <v>0.39021067563517</v>
      </c>
      <c r="AP175" s="70">
        <f ca="1">Wwp+(Wfc-Wwp)*(S175-AJ175)/S175</f>
        <v>0.399999999664038</v>
      </c>
      <c r="AQ175" s="70"/>
      <c r="AR175" s="70"/>
      <c r="AS175" s="70"/>
      <c r="AT175" s="70"/>
      <c r="AU175" s="70">
        <f ca="1">MIN((1-G175),fw)</f>
        <v>0.0546666666666666</v>
      </c>
      <c r="AV175" s="70">
        <f ca="1" t="shared" si="27"/>
        <v>0</v>
      </c>
      <c r="AW175" s="70">
        <f ca="1">MIN((TEW-Y175)/(TEW-REW),1)</f>
        <v>0.121518768133906</v>
      </c>
      <c r="AX175" s="70">
        <f ca="1">MIN((TEW-Z175)/(TEW-REW),1)</f>
        <v>0.123507605432599</v>
      </c>
      <c r="AY175" s="70">
        <f ca="1">IF((AU175*(TEW-Y175))&gt;0,1/(1+((AV175*(TEW-Z175))/(AU175*(TEW-Y175)))),0)</f>
        <v>1</v>
      </c>
      <c r="AZ175" s="70">
        <f ca="1">MIN((AY175*AW175*(Kcmax-H175)),AU175*Kcmax)</f>
        <v>0.0102477896674424</v>
      </c>
      <c r="BA175" s="70">
        <f ca="1">MIN(((1-AY175)*AX175*(Kcmax-H175)),AV175*Kcmax)</f>
        <v>0</v>
      </c>
      <c r="BB175" s="70">
        <f ca="1" t="shared" si="28"/>
        <v>0.0269824301943758</v>
      </c>
      <c r="BC175" s="70">
        <f ca="1">MIN((R175-AA175)/(R175*(1-(p+0.04*(5-I174)))),1)</f>
        <v>1</v>
      </c>
      <c r="BD175" s="10">
        <f ca="1" t="shared" si="29"/>
        <v>2.80590668431527</v>
      </c>
      <c r="BE175" s="70">
        <f ca="1">MIN(IF((1-AA175/R175)&gt;0,(1-Y175/TEW)/(1-AA175/R175)*(Ze/P175)^0.6,0),1)*BC175*H175*B175</f>
        <v>1.11959606664824</v>
      </c>
      <c r="BF175" s="70">
        <f ca="1">MIN(IF((1-AA175/R175)&gt;0,(1-Z175/TEW)/(1-AA175/R175)*(Ze/P175)^0.6,0),1)*BC175*H175*B175</f>
        <v>1.13791993917439</v>
      </c>
      <c r="BH175" s="10">
        <f ca="1" t="shared" si="30"/>
        <v>0.508307847129927</v>
      </c>
      <c r="BI175" s="10">
        <f ca="1">IF(F175&lt;&gt;"",(Moy_Etobs-F175)^2,"")</f>
        <v>0.261181738331616</v>
      </c>
    </row>
    <row r="176" spans="1:61">
      <c r="A176" s="38">
        <v>39169</v>
      </c>
      <c r="B176" s="10">
        <v>1.129</v>
      </c>
      <c r="C176" s="39">
        <v>0.396</v>
      </c>
      <c r="D176">
        <v>0.862</v>
      </c>
      <c r="E176" s="39">
        <v>0</v>
      </c>
      <c r="F176" s="10">
        <v>1.0415736</v>
      </c>
      <c r="G176" s="10">
        <f ca="1">MIN(MAX(IF(AND(Durpla&gt;ROW()-MATCH(NDVImax,INDEX(D:D,Lig_min,1):INDEX(D:D,Lig_max,1),0)-Lig_min+1,ROW()-MATCH(NDVImax,INDEX(D:D,Lig_min,1):INDEX(D:D,Lig_max,1),0)-Lig_min+1&gt;0,D176*a_fc+b_fc&gt;fc_fin),NDVImax*a_fc+b_fc,D176*a_fc+b_fc),0),1)</f>
        <v>0.949333333333333</v>
      </c>
      <c r="H176" s="55">
        <f>MIN(MAX(D176*a_kcb+b_kcb,0),Kcmax)</f>
        <v>1.07017825678554</v>
      </c>
      <c r="I176" s="70">
        <f ca="1" t="shared" si="22"/>
        <v>1.21876090078633</v>
      </c>
      <c r="O176" s="55"/>
      <c r="P176" s="35">
        <f ca="1">IF(ROW()-MATCH(NDVImax,INDEX(D:D,Lig_min,1):INDEX(D:D,Lig_max,1),0)-Lig_min+1&gt;0,MAX(MIN(Zr_min+MAX(INDEX(G:G,Lig_min,1):INDEX(G:G,Lig_max,1))/MAX(MAX(INDEX(G:G,Lig_min,1):INDEX(G:G,Lig_max,1)),Max_fc_pour_Zrmax)*(Zr_max-Zr_min),Zr_max),Ze+0.001),MAX(MIN(Zr_min+G176/MAX(MAX(INDEX(G:G,Lig_min,1):INDEX(G:G,Lig_max,1)),Max_fc_pour_Zrmax)*(Zr_max-Zr_min),Zr_max),Ze+0.001))</f>
        <v>571.714562158983</v>
      </c>
      <c r="Q176" s="35">
        <f ca="1">IF(Z_sol&gt;0,Z_sol-P176,0.1)</f>
        <v>42.159988905451</v>
      </c>
      <c r="R176" s="35">
        <f ca="1">(Wfc-Wwp)*P176</f>
        <v>74.3228930806678</v>
      </c>
      <c r="S176" s="35">
        <f ca="1">(Wfc-Wwp)*Q176</f>
        <v>5.48079855770863</v>
      </c>
      <c r="T176" s="99">
        <f ca="1" t="shared" si="31"/>
        <v>3.11210762995058</v>
      </c>
      <c r="U176" s="99">
        <f ca="1" t="shared" si="32"/>
        <v>2.11924230798346</v>
      </c>
      <c r="V176" s="99">
        <f ca="1">IF(P176&gt;P175,IF(Q176&gt;1,MAX(AI175+(Wfc-Wwp)*(P176-P175)*AJ175/S175,0),AI175/P175*P176),MAX(AI175+(Wfc-Wwp)*(P176-P175)*AI175/R175,0))</f>
        <v>5.57827358971149</v>
      </c>
      <c r="W176" s="99">
        <f ca="1">IF(S176&gt;1,IF(P176&gt;P175,MAX(AJ175-(Wfc-Wwp)*(P176-P175)*AJ175/S175,0),MAX(AJ175-(Wfc-Wwp)*(P176-P175)*AI175/R175,0)),0)</f>
        <v>1.41641401479538e-8</v>
      </c>
      <c r="X176" s="99">
        <f ca="1">IF(AND(OR(AND(dec_vide_TAW&lt;0,V176&gt;R176*(p+0.04*(5-I175))),AND(dec_vide_TAW&gt;0,V176&gt;R176*dec_vide_TAW)),H176&gt;MAX(INDEX(H:H,Lig_min,1):INDEX(H:H,ROW(X176),1))*Kcbmax_stop_irrig*IF(ROW(X176)-lig_kcbmax&gt;0,1,0),MIN(INDEX(H:H,ROW(X176),1):INDEX(H:H,lig_kcbmax,1))&gt;Kcbmin_start_irrig),MIN(MAX(V176-E176*Irri_man-C176,0),Lame_max),0)</f>
        <v>0</v>
      </c>
      <c r="Y176" s="99">
        <f ca="1">MIN(MAX(T176-C176-IF(fw&gt;0,X176/fw*Irri_auto+E176/fw*Irri_man,0),0),TEW)</f>
        <v>2.71610762995058</v>
      </c>
      <c r="Z176" s="99">
        <f ca="1">MIN(MAX(U176-C176,0),TEW)</f>
        <v>1.72324230798346</v>
      </c>
      <c r="AA176" s="99">
        <f ca="1">MIN(MAX(V176-C176-(X176*Irri_auto+E176*Irri_man),0),R176)</f>
        <v>5.18227358971149</v>
      </c>
      <c r="AB176" s="99">
        <f ca="1">MIN(MAX(W176+MIN(V176-C176-(X176*Irri_auto+E176*Irri_man),0),0),S176)</f>
        <v>1.41641401479538e-8</v>
      </c>
      <c r="AC176" s="99">
        <f ca="1">-MIN(W176+MIN(V176-C176-(X176*Irri_auto+E176*Irri_man),0),0)</f>
        <v>0</v>
      </c>
      <c r="AD176" s="39">
        <f ca="1">IF(((R176-AA176)/P176-((Wfc-Wwp)*Ze-Y176)/Ze)/Wfc*DiffE&lt;0,MAX(((R176-AA176)/P176-((Wfc-Wwp)*Ze-Y176)/Ze)/Wfc*DiffE,(R176*Ze-((Wfc-Wwp)*Ze-Y176-AA176)*P176)/(P176+Ze)-AA176),MIN(((R176-AA176)/P176-((Wfc-Wwp)*Ze-Y176)/Ze)/Wfc*DiffE,(R176*Ze-((Wfc-Wwp)*Ze-Y176-AA176)*P176)/(P176+Ze)-AA176))</f>
        <v>3.16610471596928e-8</v>
      </c>
      <c r="AE176" s="39">
        <f ca="1">IF(((R176-AA176)/P176-((Wfc-Wwp)*Ze-Z176)/Ze)/Wfc*DiffE&lt;0,MAX(((R176-AA176)/P176-((Wfc-Wwp)*Ze-Z176)/Ze)/Wfc*DiffE,(R176*Ze-((Wfc-Wwp)*Ze-Z176-AA176)*P176)/(P176+Ze)-AA176),MIN(((R176-AA176)/P176-((Wfc-Wwp)*Ze-Z176)/Ze)/Wfc*DiffE,(R176*Ze-((Wfc-Wwp)*Ze-Z176-AA176)*P176)/(P176+Ze)-AA176))</f>
        <v>1.18037407203503e-8</v>
      </c>
      <c r="AF176" s="39">
        <f ca="1">IF(((S176-AB176)/Q176-(R176-AA176)/P176)/Wfc*DiffR&lt;0,MAX(((S176-AB176)/Q176-(R176-AA176)/P176)/Wfc*DiffR,(S176*P176-(R176-AA176-AB176)*Q176)/(P176+Q176)-AB176),MIN(((S176-AB176)/Q176-(R176-AA176)/P176)/Wfc*DiffR,(S176*P176-(R176-AA176-AB176)*Q176)/(P176+Q176)-AB176))</f>
        <v>2.26611045994148e-8</v>
      </c>
      <c r="AG176" s="99">
        <f ca="1">MIN(MAX(Y176+IF(AU176&gt;0,B176*AZ176/AU176,0)+BE176-AD176,0),TEW)</f>
        <v>3.4028050674638</v>
      </c>
      <c r="AH176" s="99">
        <f ca="1">MIN(MAX(Z176+IF(AV176&gt;0,B176*BA176/AV176,0)+BF176-AE176,0),TEW)</f>
        <v>2.2177532675786</v>
      </c>
      <c r="AI176" s="99">
        <f ca="1" t="shared" si="23"/>
        <v>6.40103446783671</v>
      </c>
      <c r="AJ176" s="99">
        <f ca="1" t="shared" si="24"/>
        <v>3.68252447473686e-8</v>
      </c>
      <c r="AK176" s="70">
        <f ca="1">IF((AU176+AV176)&gt;0,(TEW-(AG176*AU176+AH176*AV176)/(AU176+AV176))/TEW,(TEW-(AG176+AH176)/2)/TEW)</f>
        <v>0.897273809284112</v>
      </c>
      <c r="AL176" s="70">
        <f ca="1" t="shared" si="25"/>
        <v>0.913875332316663</v>
      </c>
      <c r="AM176" s="70">
        <f ca="1" t="shared" si="26"/>
        <v>0.999999993281044</v>
      </c>
      <c r="AN176" s="70">
        <f ca="1">Wwp+(Wfc-Wwp)*IF((AU176+AV176)&gt;0,(TEW-(AG176*AU176+AH176*AV176)/(AU176+AV176))/TEW,(TEW-(AG176+AH176)/2)/TEW)</f>
        <v>0.386645595206935</v>
      </c>
      <c r="AO176" s="70">
        <f ca="1">Wwp+(Wfc-Wwp)*(R176-AI176)/R176</f>
        <v>0.388803793201166</v>
      </c>
      <c r="AP176" s="70">
        <f ca="1">Wwp+(Wfc-Wwp)*(S176-AJ176)/S176</f>
        <v>0.399999999126536</v>
      </c>
      <c r="AQ176" s="70"/>
      <c r="AR176" s="70"/>
      <c r="AS176" s="70"/>
      <c r="AT176" s="70"/>
      <c r="AU176" s="70">
        <f ca="1">MIN((1-G176),fw)</f>
        <v>0.0506666666666666</v>
      </c>
      <c r="AV176" s="70">
        <f ca="1" t="shared" si="27"/>
        <v>0</v>
      </c>
      <c r="AW176" s="70">
        <f ca="1">MIN((TEW-Y176)/(TEW-REW),1)</f>
        <v>0.116841934655414</v>
      </c>
      <c r="AX176" s="70">
        <f ca="1">MIN((TEW-Z176)/(TEW-REW),1)</f>
        <v>0.120656881403858</v>
      </c>
      <c r="AY176" s="70">
        <f ca="1">IF((AU176*(TEW-Y176))&gt;0,1/(1+((AV176*(TEW-Z176))/(AU176*(TEW-Y176)))),0)</f>
        <v>1</v>
      </c>
      <c r="AZ176" s="70">
        <f ca="1">MIN((AY176*AW176*(Kcmax-H176)),AU176*Kcmax)</f>
        <v>0.0093265269047452</v>
      </c>
      <c r="BA176" s="70">
        <f ca="1">MIN(((1-AY176)*AX176*(Kcmax-H176)),AV176*Kcmax)</f>
        <v>0</v>
      </c>
      <c r="BB176" s="70">
        <f ca="1" t="shared" si="28"/>
        <v>0.0105296488754573</v>
      </c>
      <c r="BC176" s="70">
        <f ca="1">MIN((R176-AA176)/(R176*(1-(p+0.04*(5-I175)))),1)</f>
        <v>1</v>
      </c>
      <c r="BD176" s="10">
        <f ca="1" t="shared" si="29"/>
        <v>1.20823125191087</v>
      </c>
      <c r="BE176" s="70">
        <f ca="1">MIN(IF((1-AA176/R176)&gt;0,(1-Y176/TEW)/(1-AA176/R176)*(Ze/P176)^0.6,0),1)*BC176*H176*B176</f>
        <v>0.478875451895495</v>
      </c>
      <c r="BF176" s="70">
        <f ca="1">MIN(IF((1-AA176/R176)&gt;0,(1-Z176/TEW)/(1-AA176/R176)*(Ze/P176)^0.6,0),1)*BC176*H176*B176</f>
        <v>0.494510971398885</v>
      </c>
      <c r="BH176" s="10">
        <f ca="1" t="shared" si="30"/>
        <v>0.031395339559946</v>
      </c>
      <c r="BI176" s="10">
        <f ca="1">IF(F176&lt;&gt;"",(Moy_Etobs-F176)^2,"")</f>
        <v>0.321828124316124</v>
      </c>
    </row>
    <row r="177" spans="1:61">
      <c r="A177" s="38">
        <v>39170</v>
      </c>
      <c r="B177" s="10">
        <v>2.049</v>
      </c>
      <c r="C177" s="39">
        <v>4.356</v>
      </c>
      <c r="D177">
        <v>0.865</v>
      </c>
      <c r="E177" s="39">
        <v>0</v>
      </c>
      <c r="F177" s="10">
        <v>2.0967606</v>
      </c>
      <c r="G177" s="10">
        <f ca="1">MIN(MAX(IF(AND(Durpla&gt;ROW()-MATCH(NDVImax,INDEX(D:D,Lig_min,1):INDEX(D:D,Lig_max,1),0)-Lig_min+1,ROW()-MATCH(NDVImax,INDEX(D:D,Lig_min,1):INDEX(D:D,Lig_max,1),0)-Lig_min+1&gt;0,D177*a_fc+b_fc&gt;fc_fin),NDVImax*a_fc+b_fc,D177*a_fc+b_fc),0),1)</f>
        <v>0.953333333333333</v>
      </c>
      <c r="H177" s="55">
        <f>MIN(MAX(D177*a_kcb+b_kcb,0),Kcmax)</f>
        <v>1.07468743483379</v>
      </c>
      <c r="I177" s="70">
        <f ca="1" t="shared" si="22"/>
        <v>2.22167554617985</v>
      </c>
      <c r="O177" s="55"/>
      <c r="P177" s="35">
        <f ca="1">IF(ROW()-MATCH(NDVImax,INDEX(D:D,Lig_min,1):INDEX(D:D,Lig_max,1),0)-Lig_min+1&gt;0,MAX(MIN(Zr_min+MAX(INDEX(G:G,Lig_min,1):INDEX(G:G,Lig_max,1))/MAX(MAX(INDEX(G:G,Lig_min,1):INDEX(G:G,Lig_max,1)),Max_fc_pour_Zrmax)*(Zr_max-Zr_min),Zr_max),Ze+0.001),MAX(MIN(Zr_min+G177/MAX(MAX(INDEX(G:G,Lig_min,1):INDEX(G:G,Lig_max,1)),Max_fc_pour_Zrmax)*(Zr_max-Zr_min),Zr_max),Ze+0.001))</f>
        <v>573.596786437743</v>
      </c>
      <c r="Q177" s="35">
        <f ca="1">IF(Z_sol&gt;0,Z_sol-P177,0.1)</f>
        <v>40.2777646266912</v>
      </c>
      <c r="R177" s="35">
        <f ca="1">(Wfc-Wwp)*P177</f>
        <v>74.5675822369066</v>
      </c>
      <c r="S177" s="35">
        <f ca="1">(Wfc-Wwp)*Q177</f>
        <v>5.23610940146986</v>
      </c>
      <c r="T177" s="99">
        <f ca="1" t="shared" si="31"/>
        <v>3.4028050674638</v>
      </c>
      <c r="U177" s="99">
        <f ca="1" t="shared" si="32"/>
        <v>2.2177532675786</v>
      </c>
      <c r="V177" s="99">
        <f ca="1">IF(P177&gt;P176,IF(Q177&gt;1,MAX(AI176+(Wfc-Wwp)*(P177-P176)*AJ176/S176,0),AI176/P176*P177),MAX(AI176+(Wfc-Wwp)*(P177-P176)*AI176/R176,0))</f>
        <v>6.40103446948077</v>
      </c>
      <c r="W177" s="99">
        <f ca="1">IF(S177&gt;1,IF(P177&gt;P176,MAX(AJ176-(Wfc-Wwp)*(P177-P176)*AJ176/S176,0),MAX(AJ176-(Wfc-Wwp)*(P177-P176)*AI176/R176,0)),0)</f>
        <v>3.51811890553661e-8</v>
      </c>
      <c r="X177" s="99">
        <f ca="1">IF(AND(OR(AND(dec_vide_TAW&lt;0,V177&gt;R177*(p+0.04*(5-I176))),AND(dec_vide_TAW&gt;0,V177&gt;R177*dec_vide_TAW)),H177&gt;MAX(INDEX(H:H,Lig_min,1):INDEX(H:H,ROW(X177),1))*Kcbmax_stop_irrig*IF(ROW(X177)-lig_kcbmax&gt;0,1,0),MIN(INDEX(H:H,ROW(X177),1):INDEX(H:H,lig_kcbmax,1))&gt;Kcbmin_start_irrig),MIN(MAX(V177-E177*Irri_man-C177,0),Lame_max),0)</f>
        <v>0</v>
      </c>
      <c r="Y177" s="99">
        <f ca="1">MIN(MAX(T177-C177-IF(fw&gt;0,X177/fw*Irri_auto+E177/fw*Irri_man,0),0),TEW)</f>
        <v>0</v>
      </c>
      <c r="Z177" s="99">
        <f ca="1">MIN(MAX(U177-C177,0),TEW)</f>
        <v>0</v>
      </c>
      <c r="AA177" s="99">
        <f ca="1">MIN(MAX(V177-C177-(X177*Irri_auto+E177*Irri_man),0),R177)</f>
        <v>2.04503446948077</v>
      </c>
      <c r="AB177" s="99">
        <f ca="1">MIN(MAX(W177+MIN(V177-C177-(X177*Irri_auto+E177*Irri_man),0),0),S177)</f>
        <v>3.51811890553661e-8</v>
      </c>
      <c r="AC177" s="99">
        <f ca="1">-MIN(W177+MIN(V177-C177-(X177*Irri_auto+E177*Irri_man),0),0)</f>
        <v>0</v>
      </c>
      <c r="AD177" s="39">
        <f ca="1">IF(((R177-AA177)/P177-((Wfc-Wwp)*Ze-Y177)/Ze)/Wfc*DiffE&lt;0,MAX(((R177-AA177)/P177-((Wfc-Wwp)*Ze-Y177)/Ze)/Wfc*DiffE,(R177*Ze-((Wfc-Wwp)*Ze-Y177-AA177)*P177)/(P177+Ze)-AA177),MIN(((R177-AA177)/P177-((Wfc-Wwp)*Ze-Y177)/Ze)/Wfc*DiffE,(R177*Ze-((Wfc-Wwp)*Ze-Y177-AA177)*P177)/(P177+Ze)-AA177))</f>
        <v>-8.91320574763509e-9</v>
      </c>
      <c r="AE177" s="39">
        <f ca="1">IF(((R177-AA177)/P177-((Wfc-Wwp)*Ze-Z177)/Ze)/Wfc*DiffE&lt;0,MAX(((R177-AA177)/P177-((Wfc-Wwp)*Ze-Z177)/Ze)/Wfc*DiffE,(R177*Ze-((Wfc-Wwp)*Ze-Z177-AA177)*P177)/(P177+Ze)-AA177),MIN(((R177-AA177)/P177-((Wfc-Wwp)*Ze-Z177)/Ze)/Wfc*DiffE,(R177*Ze-((Wfc-Wwp)*Ze-Z177-AA177)*P177)/(P177+Ze)-AA177))</f>
        <v>-8.91320574763509e-9</v>
      </c>
      <c r="AF177" s="39">
        <f ca="1">IF(((S177-AB177)/Q177-(R177-AA177)/P177)/Wfc*DiffR&lt;0,MAX(((S177-AB177)/Q177-(R177-AA177)/P177)/Wfc*DiffR,(S177*P177-(R177-AA177-AB177)*Q177)/(P177+Q177)-AB177),MIN(((S177-AB177)/Q177-(R177-AA177)/P177)/Wfc*DiffR,(S177*P177-(R177-AA177-AB177)*Q177)/(P177+Q177)-AB177))</f>
        <v>8.9132035639744e-9</v>
      </c>
      <c r="AG177" s="99">
        <f ca="1">MIN(MAX(Y177+IF(AU177&gt;0,B177*AZ177/AU177,0)+BE177-AD177,0),TEW)</f>
        <v>1.32845465967119</v>
      </c>
      <c r="AH177" s="99">
        <f ca="1">MIN(MAX(Z177+IF(AV177&gt;0,B177*BA177/AV177,0)+BF177-AE177,0),TEW)</f>
        <v>0.907576255269544</v>
      </c>
      <c r="AI177" s="99">
        <f ca="1" t="shared" si="23"/>
        <v>4.26671000674742</v>
      </c>
      <c r="AJ177" s="99">
        <f ca="1" t="shared" si="24"/>
        <v>4.40943926193405e-8</v>
      </c>
      <c r="AK177" s="70">
        <f ca="1">IF((AU177+AV177)&gt;0,(TEW-(AG177*AU177+AH177*AV177)/(AU177+AV177))/TEW,(TEW-(AG177+AH177)/2)/TEW)</f>
        <v>0.959895708387285</v>
      </c>
      <c r="AL177" s="70">
        <f ca="1" t="shared" si="25"/>
        <v>0.942780630955798</v>
      </c>
      <c r="AM177" s="70">
        <f ca="1" t="shared" si="26"/>
        <v>0.999999991578787</v>
      </c>
      <c r="AN177" s="70">
        <f ca="1">Wwp+(Wfc-Wwp)*IF((AU177+AV177)&gt;0,(TEW-(AG177*AU177+AH177*AV177)/(AU177+AV177))/TEW,(TEW-(AG177+AH177)/2)/TEW)</f>
        <v>0.394786442090347</v>
      </c>
      <c r="AO177" s="70">
        <f ca="1">Wwp+(Wfc-Wwp)*(R177-AI177)/R177</f>
        <v>0.392561482024254</v>
      </c>
      <c r="AP177" s="70">
        <f ca="1">Wwp+(Wfc-Wwp)*(S177-AJ177)/S177</f>
        <v>0.399999998905242</v>
      </c>
      <c r="AQ177" s="70"/>
      <c r="AR177" s="70"/>
      <c r="AS177" s="70"/>
      <c r="AT177" s="70"/>
      <c r="AU177" s="70">
        <f ca="1">MIN((1-G177),fw)</f>
        <v>0.0466666666666666</v>
      </c>
      <c r="AV177" s="70">
        <f ca="1" t="shared" si="27"/>
        <v>0</v>
      </c>
      <c r="AW177" s="70">
        <f ca="1">MIN((TEW-Y177)/(TEW-REW),1)</f>
        <v>0.12727820001996</v>
      </c>
      <c r="AX177" s="70">
        <f ca="1">MIN((TEW-Z177)/(TEW-REW),1)</f>
        <v>0.12727820001996</v>
      </c>
      <c r="AY177" s="70">
        <f ca="1">IF((AU177*(TEW-Y177))&gt;0,1/(1+((AV177*(TEW-Z177))/(AU177*(TEW-Y177)))),0)</f>
        <v>1</v>
      </c>
      <c r="AZ177" s="70">
        <f ca="1">MIN((AY177*AW177*(Kcmax-H177)),AU177*Kcmax)</f>
        <v>0.00958564773324068</v>
      </c>
      <c r="BA177" s="70">
        <f ca="1">MIN(((1-AY177)*AX177*(Kcmax-H177)),AV177*Kcmax)</f>
        <v>0</v>
      </c>
      <c r="BB177" s="70">
        <f ca="1" t="shared" si="28"/>
        <v>0.0196409922054101</v>
      </c>
      <c r="BC177" s="70">
        <f ca="1">MIN((R177-AA177)/(R177*(1-(p+0.04*(5-I176)))),1)</f>
        <v>1</v>
      </c>
      <c r="BD177" s="10">
        <f ca="1" t="shared" si="29"/>
        <v>2.20203455397444</v>
      </c>
      <c r="BE177" s="70">
        <f ca="1">MIN(IF((1-AA177/R177)&gt;0,(1-Y177/TEW)/(1-AA177/R177)*(Ze/P177)^0.6,0),1)*BC177*H177*B177</f>
        <v>0.907576246356338</v>
      </c>
      <c r="BF177" s="70">
        <f ca="1">MIN(IF((1-AA177/R177)&gt;0,(1-Z177/TEW)/(1-AA177/R177)*(Ze/P177)^0.6,0),1)*BC177*H177*B177</f>
        <v>0.907576246356338</v>
      </c>
      <c r="BH177" s="10">
        <f ca="1" t="shared" si="30"/>
        <v>0.0156037437791157</v>
      </c>
      <c r="BI177" s="10">
        <f ca="1">IF(F177&lt;&gt;"",(Moy_Etobs-F177)^2,"")</f>
        <v>0.23803472727759</v>
      </c>
    </row>
    <row r="178" spans="1:61">
      <c r="A178" s="38">
        <v>39171</v>
      </c>
      <c r="B178" s="10">
        <v>1.296</v>
      </c>
      <c r="C178" s="39">
        <v>2.178</v>
      </c>
      <c r="D178">
        <v>0.868</v>
      </c>
      <c r="E178" s="39">
        <v>0</v>
      </c>
      <c r="F178" s="10">
        <v>1.5293322</v>
      </c>
      <c r="G178" s="10">
        <f ca="1">MIN(MAX(IF(AND(Durpla&gt;ROW()-MATCH(NDVImax,INDEX(D:D,Lig_min,1):INDEX(D:D,Lig_max,1),0)-Lig_min+1,ROW()-MATCH(NDVImax,INDEX(D:D,Lig_min,1):INDEX(D:D,Lig_max,1),0)-Lig_min+1&gt;0,D178*a_fc+b_fc&gt;fc_fin),NDVImax*a_fc+b_fc,D178*a_fc+b_fc),0),1)</f>
        <v>0.957333333333333</v>
      </c>
      <c r="H178" s="55">
        <f>MIN(MAX(D178*a_kcb+b_kcb,0),Kcmax)</f>
        <v>1.07919661288205</v>
      </c>
      <c r="I178" s="70">
        <f ca="1" t="shared" si="22"/>
        <v>1.41031800935246</v>
      </c>
      <c r="O178" s="55"/>
      <c r="P178" s="35">
        <f ca="1">IF(ROW()-MATCH(NDVImax,INDEX(D:D,Lig_min,1):INDEX(D:D,Lig_max,1),0)-Lig_min+1&gt;0,MAX(MIN(Zr_min+MAX(INDEX(G:G,Lig_min,1):INDEX(G:G,Lig_max,1))/MAX(MAX(INDEX(G:G,Lig_min,1):INDEX(G:G,Lig_max,1)),Max_fc_pour_Zrmax)*(Zr_max-Zr_min),Zr_max),Ze+0.001),MAX(MIN(Zr_min+G178/MAX(MAX(INDEX(G:G,Lig_min,1):INDEX(G:G,Lig_max,1)),Max_fc_pour_Zrmax)*(Zr_max-Zr_min),Zr_max),Ze+0.001))</f>
        <v>575.479010716503</v>
      </c>
      <c r="Q178" s="35">
        <f ca="1">IF(Z_sol&gt;0,Z_sol-P178,0.1)</f>
        <v>38.3955403479314</v>
      </c>
      <c r="R178" s="35">
        <f ca="1">(Wfc-Wwp)*P178</f>
        <v>74.8122713931454</v>
      </c>
      <c r="S178" s="35">
        <f ca="1">(Wfc-Wwp)*Q178</f>
        <v>4.99142024523108</v>
      </c>
      <c r="T178" s="99">
        <f ca="1" t="shared" si="31"/>
        <v>1.32845465967119</v>
      </c>
      <c r="U178" s="99">
        <f ca="1" t="shared" si="32"/>
        <v>0.907576255269544</v>
      </c>
      <c r="V178" s="99">
        <f ca="1">IF(P178&gt;P177,IF(Q178&gt;1,MAX(AI177+(Wfc-Wwp)*(P178-P177)*AJ177/S177,0),AI177/P177*P178),MAX(AI177+(Wfc-Wwp)*(P178-P177)*AI177/R177,0))</f>
        <v>4.266710008808</v>
      </c>
      <c r="W178" s="99">
        <f ca="1">IF(S178&gt;1,IF(P178&gt;P177,MAX(AJ177-(Wfc-Wwp)*(P178-P177)*AJ177/S177,0),MAX(AJ177-(Wfc-Wwp)*(P178-P177)*AI177/R177,0)),0)</f>
        <v>4.20338131131409e-8</v>
      </c>
      <c r="X178" s="99">
        <f ca="1">IF(AND(OR(AND(dec_vide_TAW&lt;0,V178&gt;R178*(p+0.04*(5-I177))),AND(dec_vide_TAW&gt;0,V178&gt;R178*dec_vide_TAW)),H178&gt;MAX(INDEX(H:H,Lig_min,1):INDEX(H:H,ROW(X178),1))*Kcbmax_stop_irrig*IF(ROW(X178)-lig_kcbmax&gt;0,1,0),MIN(INDEX(H:H,ROW(X178),1):INDEX(H:H,lig_kcbmax,1))&gt;Kcbmin_start_irrig),MIN(MAX(V178-E178*Irri_man-C178,0),Lame_max),0)</f>
        <v>0</v>
      </c>
      <c r="Y178" s="99">
        <f ca="1">MIN(MAX(T178-C178-IF(fw&gt;0,X178/fw*Irri_auto+E178/fw*Irri_man,0),0),TEW)</f>
        <v>0</v>
      </c>
      <c r="Z178" s="99">
        <f ca="1">MIN(MAX(U178-C178,0),TEW)</f>
        <v>0</v>
      </c>
      <c r="AA178" s="99">
        <f ca="1">MIN(MAX(V178-C178-(X178*Irri_auto+E178*Irri_man),0),R178)</f>
        <v>2.088710008808</v>
      </c>
      <c r="AB178" s="99">
        <f ca="1">MIN(MAX(W178+MIN(V178-C178-(X178*Irri_auto+E178*Irri_man),0),0),S178)</f>
        <v>4.20338131131409e-8</v>
      </c>
      <c r="AC178" s="99">
        <f ca="1">-MIN(W178+MIN(V178-C178-(X178*Irri_auto+E178*Irri_man),0),0)</f>
        <v>0</v>
      </c>
      <c r="AD178" s="39">
        <f ca="1">IF(((R178-AA178)/P178-((Wfc-Wwp)*Ze-Y178)/Ze)/Wfc*DiffE&lt;0,MAX(((R178-AA178)/P178-((Wfc-Wwp)*Ze-Y178)/Ze)/Wfc*DiffE,(R178*Ze-((Wfc-Wwp)*Ze-Y178-AA178)*P178)/(P178+Ze)-AA178),MIN(((R178-AA178)/P178-((Wfc-Wwp)*Ze-Y178)/Ze)/Wfc*DiffE,(R178*Ze-((Wfc-Wwp)*Ze-Y178-AA178)*P178)/(P178+Ze)-AA178))</f>
        <v>-9.07378883465898e-9</v>
      </c>
      <c r="AE178" s="39">
        <f ca="1">IF(((R178-AA178)/P178-((Wfc-Wwp)*Ze-Z178)/Ze)/Wfc*DiffE&lt;0,MAX(((R178-AA178)/P178-((Wfc-Wwp)*Ze-Z178)/Ze)/Wfc*DiffE,(R178*Ze-((Wfc-Wwp)*Ze-Z178-AA178)*P178)/(P178+Ze)-AA178),MIN(((R178-AA178)/P178-((Wfc-Wwp)*Ze-Z178)/Ze)/Wfc*DiffE,(R178*Ze-((Wfc-Wwp)*Ze-Z178-AA178)*P178)/(P178+Ze)-AA178))</f>
        <v>-9.07378883465898e-9</v>
      </c>
      <c r="AF178" s="39">
        <f ca="1">IF(((S178-AB178)/Q178-(R178-AA178)/P178)/Wfc*DiffR&lt;0,MAX(((S178-AB178)/Q178-(R178-AA178)/P178)/Wfc*DiffR,(S178*P178-(R178-AA178-AB178)*Q178)/(P178+Q178)-AB178),MIN(((S178-AB178)/Q178-(R178-AA178)/P178)/Wfc*DiffR,(S178*P178-(R178-AA178-AB178)*Q178)/(P178+Q178)-AB178))</f>
        <v>9.0737860977648e-9</v>
      </c>
      <c r="AG178" s="99">
        <f ca="1">MIN(MAX(Y178+IF(AU178&gt;0,B178*AZ178/AU178,0)+BE178-AD178,0),TEW)</f>
        <v>0.849345559787994</v>
      </c>
      <c r="AH178" s="99">
        <f ca="1">MIN(MAX(Z178+IF(AV178&gt;0,B178*BA178/AV178,0)+BF178-AE178,0),TEW)</f>
        <v>0.575614331881927</v>
      </c>
      <c r="AI178" s="99">
        <f ca="1" t="shared" si="23"/>
        <v>3.49902800908667</v>
      </c>
      <c r="AJ178" s="99">
        <f ca="1" t="shared" si="24"/>
        <v>5.11075992109057e-8</v>
      </c>
      <c r="AK178" s="70">
        <f ca="1">IF((AU178+AV178)&gt;0,(TEW-(AG178*AU178+AH178*AV178)/(AU178+AV178))/TEW,(TEW-(AG178+AH178)/2)/TEW)</f>
        <v>0.974359379327155</v>
      </c>
      <c r="AL178" s="70">
        <f ca="1" t="shared" si="25"/>
        <v>0.953229223709852</v>
      </c>
      <c r="AM178" s="70">
        <f ca="1" t="shared" si="26"/>
        <v>0.99999998976091</v>
      </c>
      <c r="AN178" s="70">
        <f ca="1">Wwp+(Wfc-Wwp)*IF((AU178+AV178)&gt;0,(TEW-(AG178*AU178+AH178*AV178)/(AU178+AV178))/TEW,(TEW-(AG178+AH178)/2)/TEW)</f>
        <v>0.39666671931253</v>
      </c>
      <c r="AO178" s="70">
        <f ca="1">Wwp+(Wfc-Wwp)*(R178-AI178)/R178</f>
        <v>0.393919799082281</v>
      </c>
      <c r="AP178" s="70">
        <f ca="1">Wwp+(Wfc-Wwp)*(S178-AJ178)/S178</f>
        <v>0.399999998668918</v>
      </c>
      <c r="AQ178" s="70"/>
      <c r="AR178" s="70"/>
      <c r="AS178" s="70"/>
      <c r="AT178" s="70"/>
      <c r="AU178" s="70">
        <f ca="1">MIN((1-G178),fw)</f>
        <v>0.0426666666666666</v>
      </c>
      <c r="AV178" s="70">
        <f ca="1" t="shared" si="27"/>
        <v>0</v>
      </c>
      <c r="AW178" s="70">
        <f ca="1">MIN((TEW-Y178)/(TEW-REW),1)</f>
        <v>0.12727820001996</v>
      </c>
      <c r="AX178" s="70">
        <f ca="1">MIN((TEW-Z178)/(TEW-REW),1)</f>
        <v>0.12727820001996</v>
      </c>
      <c r="AY178" s="70">
        <f ca="1">IF((AU178*(TEW-Y178))&gt;0,1/(1+((AV178*(TEW-Z178))/(AU178*(TEW-Y178)))),0)</f>
        <v>1</v>
      </c>
      <c r="AZ178" s="70">
        <f ca="1">MIN((AY178*AW178*(Kcmax-H178)),AU178*Kcmax)</f>
        <v>0.00901172766768944</v>
      </c>
      <c r="BA178" s="70">
        <f ca="1">MIN(((1-AY178)*AX178*(Kcmax-H178)),AV178*Kcmax)</f>
        <v>0</v>
      </c>
      <c r="BB178" s="70">
        <f ca="1" t="shared" si="28"/>
        <v>0.0116791990573255</v>
      </c>
      <c r="BC178" s="70">
        <f ca="1">MIN((R178-AA178)/(R178*(1-(p+0.04*(5-I177)))),1)</f>
        <v>1</v>
      </c>
      <c r="BD178" s="10">
        <f ca="1" t="shared" si="29"/>
        <v>1.39863881029513</v>
      </c>
      <c r="BE178" s="70">
        <f ca="1">MIN(IF((1-AA178/R178)&gt;0,(1-Y178/TEW)/(1-AA178/R178)*(Ze/P178)^0.6,0),1)*BC178*H178*B178</f>
        <v>0.575614322808138</v>
      </c>
      <c r="BF178" s="70">
        <f ca="1">MIN(IF((1-AA178/R178)&gt;0,(1-Z178/TEW)/(1-AA178/R178)*(Ze/P178)^0.6,0),1)*BC178*H178*B178</f>
        <v>0.575614322808138</v>
      </c>
      <c r="BH178" s="10">
        <f ca="1" t="shared" si="30"/>
        <v>0.0141643775754892</v>
      </c>
      <c r="BI178" s="10">
        <f ca="1">IF(F178&lt;&gt;"",(Moy_Etobs-F178)^2,"")</f>
        <v>0.0063266708737826</v>
      </c>
    </row>
    <row r="179" spans="1:61">
      <c r="A179" s="38">
        <v>39172</v>
      </c>
      <c r="B179" s="10">
        <v>1.131</v>
      </c>
      <c r="C179" s="39">
        <v>5.148</v>
      </c>
      <c r="D179">
        <v>0.871</v>
      </c>
      <c r="E179" s="39">
        <v>0</v>
      </c>
      <c r="F179" s="10">
        <v>1.1340252</v>
      </c>
      <c r="G179" s="10">
        <f ca="1">MIN(MAX(IF(AND(Durpla&gt;ROW()-MATCH(NDVImax,INDEX(D:D,Lig_min,1):INDEX(D:D,Lig_max,1),0)-Lig_min+1,ROW()-MATCH(NDVImax,INDEX(D:D,Lig_min,1):INDEX(D:D,Lig_max,1),0)-Lig_min+1&gt;0,D179*a_fc+b_fc&gt;fc_fin),NDVImax*a_fc+b_fc,D179*a_fc+b_fc),0),1)</f>
        <v>0.961333333333333</v>
      </c>
      <c r="H179" s="55">
        <f>MIN(MAX(D179*a_kcb+b_kcb,0),Kcmax)</f>
        <v>1.0837057909303</v>
      </c>
      <c r="I179" s="70">
        <f ca="1" t="shared" si="22"/>
        <v>1.23521440994019</v>
      </c>
      <c r="O179" s="55"/>
      <c r="P179" s="35">
        <f ca="1">IF(ROW()-MATCH(NDVImax,INDEX(D:D,Lig_min,1):INDEX(D:D,Lig_max,1),0)-Lig_min+1&gt;0,MAX(MIN(Zr_min+MAX(INDEX(G:G,Lig_min,1):INDEX(G:G,Lig_max,1))/MAX(MAX(INDEX(G:G,Lig_min,1):INDEX(G:G,Lig_max,1)),Max_fc_pour_Zrmax)*(Zr_max-Zr_min),Zr_max),Ze+0.001),MAX(MIN(Zr_min+G179/MAX(MAX(INDEX(G:G,Lig_min,1):INDEX(G:G,Lig_max,1)),Max_fc_pour_Zrmax)*(Zr_max-Zr_min),Zr_max),Ze+0.001))</f>
        <v>577.361234995262</v>
      </c>
      <c r="Q179" s="35">
        <f ca="1">IF(Z_sol&gt;0,Z_sol-P179,0.1)</f>
        <v>36.5133160691717</v>
      </c>
      <c r="R179" s="35">
        <f ca="1">(Wfc-Wwp)*P179</f>
        <v>75.0569605493841</v>
      </c>
      <c r="S179" s="35">
        <f ca="1">(Wfc-Wwp)*Q179</f>
        <v>4.74673108899231</v>
      </c>
      <c r="T179" s="99">
        <f ca="1" t="shared" si="31"/>
        <v>0.849345559787994</v>
      </c>
      <c r="U179" s="99">
        <f ca="1" t="shared" si="32"/>
        <v>0.575614331881927</v>
      </c>
      <c r="V179" s="99">
        <f ca="1">IF(P179&gt;P178,IF(Q179&gt;1,MAX(AI178+(Wfc-Wwp)*(P179-P178)*AJ178/S178,0),AI178/P178*P179),MAX(AI178+(Wfc-Wwp)*(P179-P178)*AI178/R178,0))</f>
        <v>3.49902801159207</v>
      </c>
      <c r="W179" s="99">
        <f ca="1">IF(S179&gt;1,IF(P179&gt;P178,MAX(AJ178-(Wfc-Wwp)*(P179-P178)*AJ178/S178,0),MAX(AJ178-(Wfc-Wwp)*(P179-P178)*AI178/R178,0)),0)</f>
        <v>4.86022050116788e-8</v>
      </c>
      <c r="X179" s="99">
        <f ca="1">IF(AND(OR(AND(dec_vide_TAW&lt;0,V179&gt;R179*(p+0.04*(5-I178))),AND(dec_vide_TAW&gt;0,V179&gt;R179*dec_vide_TAW)),H179&gt;MAX(INDEX(H:H,Lig_min,1):INDEX(H:H,ROW(X179),1))*Kcbmax_stop_irrig*IF(ROW(X179)-lig_kcbmax&gt;0,1,0),MIN(INDEX(H:H,ROW(X179),1):INDEX(H:H,lig_kcbmax,1))&gt;Kcbmin_start_irrig),MIN(MAX(V179-E179*Irri_man-C179,0),Lame_max),0)</f>
        <v>0</v>
      </c>
      <c r="Y179" s="99">
        <f ca="1">MIN(MAX(T179-C179-IF(fw&gt;0,X179/fw*Irri_auto+E179/fw*Irri_man,0),0),TEW)</f>
        <v>0</v>
      </c>
      <c r="Z179" s="99">
        <f ca="1">MIN(MAX(U179-C179,0),TEW)</f>
        <v>0</v>
      </c>
      <c r="AA179" s="99">
        <f ca="1">MIN(MAX(V179-C179-(X179*Irri_auto+E179*Irri_man),0),R179)</f>
        <v>0</v>
      </c>
      <c r="AB179" s="99">
        <f ca="1">MIN(MAX(W179+MIN(V179-C179-(X179*Irri_auto+E179*Irri_man),0),0),S179)</f>
        <v>0</v>
      </c>
      <c r="AC179" s="99">
        <f ca="1">-MIN(W179+MIN(V179-C179-(X179*Irri_auto+E179*Irri_man),0),0)</f>
        <v>1.64897193980573</v>
      </c>
      <c r="AD179" s="39">
        <f ca="1">IF(((R179-AA179)/P179-((Wfc-Wwp)*Ze-Y179)/Ze)/Wfc*DiffE&lt;0,MAX(((R179-AA179)/P179-((Wfc-Wwp)*Ze-Y179)/Ze)/Wfc*DiffE,(R179*Ze-((Wfc-Wwp)*Ze-Y179-AA179)*P179)/(P179+Ze)-AA179),MIN(((R179-AA179)/P179-((Wfc-Wwp)*Ze-Y179)/Ze)/Wfc*DiffE,(R179*Ze-((Wfc-Wwp)*Ze-Y179-AA179)*P179)/(P179+Ze)-AA179))</f>
        <v>0</v>
      </c>
      <c r="AE179" s="39">
        <f ca="1">IF(((R179-AA179)/P179-((Wfc-Wwp)*Ze-Z179)/Ze)/Wfc*DiffE&lt;0,MAX(((R179-AA179)/P179-((Wfc-Wwp)*Ze-Z179)/Ze)/Wfc*DiffE,(R179*Ze-((Wfc-Wwp)*Ze-Z179-AA179)*P179)/(P179+Ze)-AA179),MIN(((R179-AA179)/P179-((Wfc-Wwp)*Ze-Z179)/Ze)/Wfc*DiffE,(R179*Ze-((Wfc-Wwp)*Ze-Z179-AA179)*P179)/(P179+Ze)-AA179))</f>
        <v>0</v>
      </c>
      <c r="AF179" s="39">
        <f ca="1">IF(((S179-AB179)/Q179-(R179-AA179)/P179)/Wfc*DiffR&lt;0,MAX(((S179-AB179)/Q179-(R179-AA179)/P179)/Wfc*DiffR,(S179*P179-(R179-AA179-AB179)*Q179)/(P179+Q179)-AB179),MIN(((S179-AB179)/Q179-(R179-AA179)/P179)/Wfc*DiffR,(S179*P179-(R179-AA179-AB179)*Q179)/(P179+Q179)-AB179))</f>
        <v>0</v>
      </c>
      <c r="AG179" s="99">
        <f ca="1">MIN(MAX(Y179+IF(AU179&gt;0,B179*AZ179/AU179,0)+BE179-AD179,0),TEW)</f>
        <v>0.736191751617765</v>
      </c>
      <c r="AH179" s="99">
        <f ca="1">MIN(MAX(Z179+IF(AV179&gt;0,B179*BA179/AV179,0)+BF179-AE179,0),TEW)</f>
        <v>0.489385879255222</v>
      </c>
      <c r="AI179" s="99">
        <f ca="1" t="shared" si="23"/>
        <v>1.23521440994019</v>
      </c>
      <c r="AJ179" s="99">
        <f ca="1" t="shared" si="24"/>
        <v>0</v>
      </c>
      <c r="AK179" s="70">
        <f ca="1">IF((AU179+AV179)&gt;0,(TEW-(AG179*AU179+AH179*AV179)/(AU179+AV179))/TEW,(TEW-(AG179+AH179)/2)/TEW)</f>
        <v>0.977775343347388</v>
      </c>
      <c r="AL179" s="70">
        <f ca="1" t="shared" si="25"/>
        <v>0.983542973217954</v>
      </c>
      <c r="AM179" s="70">
        <f ca="1" t="shared" si="26"/>
        <v>1</v>
      </c>
      <c r="AN179" s="70">
        <f ca="1">Wwp+(Wfc-Wwp)*IF((AU179+AV179)&gt;0,(TEW-(AG179*AU179+AH179*AV179)/(AU179+AV179))/TEW,(TEW-(AG179+AH179)/2)/TEW)</f>
        <v>0.39711079463516</v>
      </c>
      <c r="AO179" s="70">
        <f ca="1">Wwp+(Wfc-Wwp)*(R179-AI179)/R179</f>
        <v>0.397860586518334</v>
      </c>
      <c r="AP179" s="70">
        <f ca="1">Wwp+(Wfc-Wwp)*(S179-AJ179)/S179</f>
        <v>0.4</v>
      </c>
      <c r="AQ179" s="70"/>
      <c r="AR179" s="70"/>
      <c r="AS179" s="70"/>
      <c r="AT179" s="70"/>
      <c r="AU179" s="70">
        <f ca="1">MIN((1-G179),fw)</f>
        <v>0.0386666666666666</v>
      </c>
      <c r="AV179" s="70">
        <f ca="1" t="shared" si="27"/>
        <v>0</v>
      </c>
      <c r="AW179" s="70">
        <f ca="1">MIN((TEW-Y179)/(TEW-REW),1)</f>
        <v>0.12727820001996</v>
      </c>
      <c r="AX179" s="70">
        <f ca="1">MIN((TEW-Z179)/(TEW-REW),1)</f>
        <v>0.12727820001996</v>
      </c>
      <c r="AY179" s="70">
        <f ca="1">IF((AU179*(TEW-Y179))&gt;0,1/(1+((AV179*(TEW-Z179))/(AU179*(TEW-Y179)))),0)</f>
        <v>1</v>
      </c>
      <c r="AZ179" s="70">
        <f ca="1">MIN((AY179*AW179*(Kcmax-H179)),AU179*Kcmax)</f>
        <v>0.00843780760213821</v>
      </c>
      <c r="BA179" s="70">
        <f ca="1">MIN(((1-AY179)*AX179*(Kcmax-H179)),AV179*Kcmax)</f>
        <v>0</v>
      </c>
      <c r="BB179" s="70">
        <f ca="1" t="shared" si="28"/>
        <v>0.00954316039801832</v>
      </c>
      <c r="BC179" s="70">
        <f ca="1">MIN((R179-AA179)/(R179*(1-(p+0.04*(5-I178)))),1)</f>
        <v>1</v>
      </c>
      <c r="BD179" s="10">
        <f ca="1" t="shared" si="29"/>
        <v>1.22567124954217</v>
      </c>
      <c r="BE179" s="70">
        <f ca="1">MIN(IF((1-AA179/R179)&gt;0,(1-Y179/TEW)/(1-AA179/R179)*(Ze/P179)^0.6,0),1)*BC179*H179*B179</f>
        <v>0.489385879255222</v>
      </c>
      <c r="BF179" s="70">
        <f ca="1">MIN(IF((1-AA179/R179)&gt;0,(1-Z179/TEW)/(1-AA179/R179)*(Ze/P179)^0.6,0),1)*BC179*H179*B179</f>
        <v>0.489385879255222</v>
      </c>
      <c r="BH179" s="10">
        <f ca="1" t="shared" si="30"/>
        <v>0.0102392562083196</v>
      </c>
      <c r="BI179" s="10">
        <f ca="1">IF(F179&lt;&gt;"",(Moy_Etobs-F179)^2,"")</f>
        <v>0.225480027267725</v>
      </c>
    </row>
    <row r="180" spans="1:61">
      <c r="A180" s="38">
        <v>39173</v>
      </c>
      <c r="B180" s="10">
        <v>1.824</v>
      </c>
      <c r="C180" s="39">
        <v>0.198</v>
      </c>
      <c r="D180">
        <v>0.875</v>
      </c>
      <c r="E180" s="39">
        <v>0</v>
      </c>
      <c r="F180" s="10">
        <v>1.4517</v>
      </c>
      <c r="G180" s="10">
        <f ca="1">MIN(MAX(IF(AND(Durpla&gt;ROW()-MATCH(NDVImax,INDEX(D:D,Lig_min,1):INDEX(D:D,Lig_max,1),0)-Lig_min+1,ROW()-MATCH(NDVImax,INDEX(D:D,Lig_min,1):INDEX(D:D,Lig_max,1),0)-Lig_min+1&gt;0,D180*a_fc+b_fc&gt;fc_fin),NDVImax*a_fc+b_fc,D180*a_fc+b_fc),0),1)</f>
        <v>0.966666666666667</v>
      </c>
      <c r="H180" s="55">
        <f>MIN(MAX(D180*a_kcb+b_kcb,0),Kcmax)</f>
        <v>1.08971802832797</v>
      </c>
      <c r="I180" s="70">
        <f ca="1" t="shared" si="22"/>
        <v>2.00141309365241</v>
      </c>
      <c r="O180" s="55"/>
      <c r="P180" s="35">
        <f ca="1">IF(ROW()-MATCH(NDVImax,INDEX(D:D,Lig_min,1):INDEX(D:D,Lig_max,1),0)-Lig_min+1&gt;0,MAX(MIN(Zr_min+MAX(INDEX(G:G,Lig_min,1):INDEX(G:G,Lig_max,1))/MAX(MAX(INDEX(G:G,Lig_min,1):INDEX(G:G,Lig_max,1)),Max_fc_pour_Zrmax)*(Zr_max-Zr_min),Zr_max),Ze+0.001),MAX(MIN(Zr_min+G180/MAX(MAX(INDEX(G:G,Lig_min,1):INDEX(G:G,Lig_max,1)),Max_fc_pour_Zrmax)*(Zr_max-Zr_min),Zr_max),Ze+0.001))</f>
        <v>579.870867366942</v>
      </c>
      <c r="Q180" s="35">
        <f ca="1">IF(Z_sol&gt;0,Z_sol-P180,0.1)</f>
        <v>34.0036836974921</v>
      </c>
      <c r="R180" s="35">
        <f ca="1">(Wfc-Wwp)*P180</f>
        <v>75.3832127577025</v>
      </c>
      <c r="S180" s="35">
        <f ca="1">(Wfc-Wwp)*Q180</f>
        <v>4.42047888067397</v>
      </c>
      <c r="T180" s="99">
        <f ca="1" t="shared" si="31"/>
        <v>0.736191751617765</v>
      </c>
      <c r="U180" s="99">
        <f ca="1" t="shared" si="32"/>
        <v>0.489385879255222</v>
      </c>
      <c r="V180" s="99">
        <f ca="1">IF(P180&gt;P179,IF(Q180&gt;1,MAX(AI179+(Wfc-Wwp)*(P180-P179)*AJ179/S179,0),AI179/P179*P180),MAX(AI179+(Wfc-Wwp)*(P180-P179)*AI179/R179,0))</f>
        <v>1.23521440994019</v>
      </c>
      <c r="W180" s="99">
        <f ca="1">IF(S180&gt;1,IF(P180&gt;P179,MAX(AJ179-(Wfc-Wwp)*(P180-P179)*AJ179/S179,0),MAX(AJ179-(Wfc-Wwp)*(P180-P179)*AI179/R179,0)),0)</f>
        <v>0</v>
      </c>
      <c r="X180" s="99">
        <f ca="1">IF(AND(OR(AND(dec_vide_TAW&lt;0,V180&gt;R180*(p+0.04*(5-I179))),AND(dec_vide_TAW&gt;0,V180&gt;R180*dec_vide_TAW)),H180&gt;MAX(INDEX(H:H,Lig_min,1):INDEX(H:H,ROW(X180),1))*Kcbmax_stop_irrig*IF(ROW(X180)-lig_kcbmax&gt;0,1,0),MIN(INDEX(H:H,ROW(X180),1):INDEX(H:H,lig_kcbmax,1))&gt;Kcbmin_start_irrig),MIN(MAX(V180-E180*Irri_man-C180,0),Lame_max),0)</f>
        <v>0</v>
      </c>
      <c r="Y180" s="99">
        <f ca="1">MIN(MAX(T180-C180-IF(fw&gt;0,X180/fw*Irri_auto+E180/fw*Irri_man,0),0),TEW)</f>
        <v>0.538191751617765</v>
      </c>
      <c r="Z180" s="99">
        <f ca="1">MIN(MAX(U180-C180,0),TEW)</f>
        <v>0.291385879255222</v>
      </c>
      <c r="AA180" s="99">
        <f ca="1">MIN(MAX(V180-C180-(X180*Irri_auto+E180*Irri_man),0),R180)</f>
        <v>1.03721440994019</v>
      </c>
      <c r="AB180" s="99">
        <f ca="1">MIN(MAX(W180+MIN(V180-C180-(X180*Irri_auto+E180*Irri_man),0),0),S180)</f>
        <v>0</v>
      </c>
      <c r="AC180" s="99">
        <f ca="1">-MIN(W180+MIN(V180-C180-(X180*Irri_auto+E180*Irri_man),0),0)</f>
        <v>0</v>
      </c>
      <c r="AD180" s="39">
        <f ca="1">IF(((R180-AA180)/P180-((Wfc-Wwp)*Ze-Y180)/Ze)/Wfc*DiffE&lt;0,MAX(((R180-AA180)/P180-((Wfc-Wwp)*Ze-Y180)/Ze)/Wfc*DiffE,(R180*Ze-((Wfc-Wwp)*Ze-Y180-AA180)*P180)/(P180+Ze)-AA180),MIN(((R180-AA180)/P180-((Wfc-Wwp)*Ze-Y180)/Ze)/Wfc*DiffE,(R180*Ze-((Wfc-Wwp)*Ze-Y180-AA180)*P180)/(P180+Ze)-AA180))</f>
        <v>6.29208766448903e-9</v>
      </c>
      <c r="AE180" s="39">
        <f ca="1">IF(((R180-AA180)/P180-((Wfc-Wwp)*Ze-Z180)/Ze)/Wfc*DiffE&lt;0,MAX(((R180-AA180)/P180-((Wfc-Wwp)*Ze-Z180)/Ze)/Wfc*DiffE,(R180*Ze-((Wfc-Wwp)*Ze-Z180-AA180)*P180)/(P180+Ze)-AA180),MIN(((R180-AA180)/P180-((Wfc-Wwp)*Ze-Z180)/Ze)/Wfc*DiffE,(R180*Ze-((Wfc-Wwp)*Ze-Z180-AA180)*P180)/(P180+Ze)-AA180))</f>
        <v>1.35597021723818e-9</v>
      </c>
      <c r="AF180" s="39">
        <f ca="1">IF(((S180-AB180)/Q180-(R180-AA180)/P180)/Wfc*DiffR&lt;0,MAX(((S180-AB180)/Q180-(R180-AA180)/P180)/Wfc*DiffR,(S180*P180-(R180-AA180-AB180)*Q180)/(P180+Q180)-AB180),MIN(((S180-AB180)/Q180-(R180-AA180)/P180)/Wfc*DiffR,(S180*P180-(R180-AA180-AB180)*Q180)/(P180+Q180)-AB180))</f>
        <v>4.47174736786626e-9</v>
      </c>
      <c r="AG180" s="99">
        <f ca="1">MIN(MAX(Y180+IF(AU180&gt;0,B180*AZ180/AU180,0)+BE180-AD180,0),TEW)</f>
        <v>1.74078140468517</v>
      </c>
      <c r="AH180" s="99">
        <f ca="1">MIN(MAX(Z180+IF(AV180&gt;0,B180*BA180/AV180,0)+BF180-AE180,0),TEW)</f>
        <v>1.08693326073858</v>
      </c>
      <c r="AI180" s="99">
        <f ca="1" t="shared" si="23"/>
        <v>3.03862749912085</v>
      </c>
      <c r="AJ180" s="99">
        <f ca="1" t="shared" si="24"/>
        <v>4.47174736786626e-9</v>
      </c>
      <c r="AK180" s="70">
        <f ca="1">IF((AU180+AV180)&gt;0,(TEW-(AG180*AU180+AH180*AV180)/(AU180+AV180))/TEW,(TEW-(AG180+AH180)/2)/TEW)</f>
        <v>0.947448108537806</v>
      </c>
      <c r="AL180" s="70">
        <f ca="1" t="shared" si="25"/>
        <v>0.95969092603034</v>
      </c>
      <c r="AM180" s="70">
        <f ca="1" t="shared" si="26"/>
        <v>0.999999998988402</v>
      </c>
      <c r="AN180" s="70">
        <f ca="1">Wwp+(Wfc-Wwp)*IF((AU180+AV180)&gt;0,(TEW-(AG180*AU180+AH180*AV180)/(AU180+AV180))/TEW,(TEW-(AG180+AH180)/2)/TEW)</f>
        <v>0.393168254109915</v>
      </c>
      <c r="AO180" s="70">
        <f ca="1">Wwp+(Wfc-Wwp)*(R180-AI180)/R180</f>
        <v>0.394759820383944</v>
      </c>
      <c r="AP180" s="70">
        <f ca="1">Wwp+(Wfc-Wwp)*(S180-AJ180)/S180</f>
        <v>0.399999999868492</v>
      </c>
      <c r="AQ180" s="70"/>
      <c r="AR180" s="70"/>
      <c r="AS180" s="70"/>
      <c r="AT180" s="70"/>
      <c r="AU180" s="70">
        <f ca="1">MIN((1-G180),fw)</f>
        <v>0.0333333333333334</v>
      </c>
      <c r="AV180" s="70">
        <f ca="1" t="shared" si="27"/>
        <v>0</v>
      </c>
      <c r="AW180" s="70">
        <f ca="1">MIN((TEW-Y180)/(TEW-REW),1)</f>
        <v>0.125210273154708</v>
      </c>
      <c r="AX180" s="70">
        <f ca="1">MIN((TEW-Z180)/(TEW-REW),1)</f>
        <v>0.126158590352856</v>
      </c>
      <c r="AY180" s="70">
        <f ca="1">IF((AU180*(TEW-Y180))&gt;0,1/(1+((AV180*(TEW-Z180))/(AU180*(TEW-Y180)))),0)</f>
        <v>1</v>
      </c>
      <c r="AZ180" s="70">
        <f ca="1">MIN((AY180*AW180*(Kcmax-H180)),AU180*Kcmax)</f>
        <v>0.00754792213935885</v>
      </c>
      <c r="BA180" s="70">
        <f ca="1">MIN(((1-AY180)*AX180*(Kcmax-H180)),AV180*Kcmax)</f>
        <v>0</v>
      </c>
      <c r="BB180" s="70">
        <f ca="1" t="shared" si="28"/>
        <v>0.0137674099821905</v>
      </c>
      <c r="BC180" s="70">
        <f ca="1">MIN((R180-AA180)/(R180*(1-(p+0.04*(5-I179)))),1)</f>
        <v>1</v>
      </c>
      <c r="BD180" s="10">
        <f ca="1" t="shared" si="29"/>
        <v>1.98764568367022</v>
      </c>
      <c r="BE180" s="70">
        <f ca="1">MIN(IF((1-AA180/R180)&gt;0,(1-Y180/TEW)/(1-AA180/R180)*(Ze/P180)^0.6,0),1)*BC180*H180*B180</f>
        <v>0.789567359893777</v>
      </c>
      <c r="BF180" s="70">
        <f ca="1">MIN(IF((1-AA180/R180)&gt;0,(1-Z180/TEW)/(1-AA180/R180)*(Ze/P180)^0.6,0),1)*BC180*H180*B180</f>
        <v>0.795547382839328</v>
      </c>
      <c r="BH180" s="10">
        <f ca="1" t="shared" si="30"/>
        <v>0.302184485332907</v>
      </c>
      <c r="BI180" s="10">
        <f ca="1">IF(F180&lt;&gt;"",(Moy_Etobs-F180)^2,"")</f>
        <v>0.0247032175785634</v>
      </c>
    </row>
    <row r="181" spans="1:61">
      <c r="A181" s="38">
        <v>39174</v>
      </c>
      <c r="B181" s="10">
        <v>2.45</v>
      </c>
      <c r="C181" s="39">
        <v>0</v>
      </c>
      <c r="D181">
        <v>0.878</v>
      </c>
      <c r="E181" s="39">
        <v>0</v>
      </c>
      <c r="F181" s="10">
        <v>1.7498412</v>
      </c>
      <c r="G181" s="10">
        <f ca="1">MIN(MAX(IF(AND(Durpla&gt;ROW()-MATCH(NDVImax,INDEX(D:D,Lig_min,1):INDEX(D:D,Lig_max,1),0)-Lig_min+1,ROW()-MATCH(NDVImax,INDEX(D:D,Lig_min,1):INDEX(D:D,Lig_max,1),0)-Lig_min+1&gt;0,D181*a_fc+b_fc&gt;fc_fin),NDVImax*a_fc+b_fc,D181*a_fc+b_fc),0),1)</f>
        <v>0.970666666666667</v>
      </c>
      <c r="H181" s="55">
        <f>MIN(MAX(D181*a_kcb+b_kcb,0),Kcmax)</f>
        <v>1.09422720637623</v>
      </c>
      <c r="I181" s="70">
        <f ca="1" t="shared" si="22"/>
        <v>2.69733440681405</v>
      </c>
      <c r="O181" s="55"/>
      <c r="P181" s="35">
        <f ca="1">IF(ROW()-MATCH(NDVImax,INDEX(D:D,Lig_min,1):INDEX(D:D,Lig_max,1),0)-Lig_min+1&gt;0,MAX(MIN(Zr_min+MAX(INDEX(G:G,Lig_min,1):INDEX(G:G,Lig_max,1))/MAX(MAX(INDEX(G:G,Lig_min,1):INDEX(G:G,Lig_max,1)),Max_fc_pour_Zrmax)*(Zr_max-Zr_min),Zr_max),Ze+0.001),MAX(MIN(Zr_min+G181/MAX(MAX(INDEX(G:G,Lig_min,1):INDEX(G:G,Lig_max,1)),Max_fc_pour_Zrmax)*(Zr_max-Zr_min),Zr_max),Ze+0.001))</f>
        <v>581.753091645702</v>
      </c>
      <c r="Q181" s="35">
        <f ca="1">IF(Z_sol&gt;0,Z_sol-P181,0.1)</f>
        <v>32.1214594187323</v>
      </c>
      <c r="R181" s="35">
        <f ca="1">(Wfc-Wwp)*P181</f>
        <v>75.6279019139412</v>
      </c>
      <c r="S181" s="35">
        <f ca="1">(Wfc-Wwp)*Q181</f>
        <v>4.17578972443521</v>
      </c>
      <c r="T181" s="99">
        <f ca="1" t="shared" si="31"/>
        <v>1.74078140468517</v>
      </c>
      <c r="U181" s="99">
        <f ca="1" t="shared" si="32"/>
        <v>1.08693326073858</v>
      </c>
      <c r="V181" s="99">
        <f ca="1">IF(P181&gt;P180,IF(Q181&gt;1,MAX(AI180+(Wfc-Wwp)*(P181-P180)*AJ180/S180,0),AI180/P180*P181),MAX(AI180+(Wfc-Wwp)*(P181-P180)*AI180/R180,0))</f>
        <v>3.03862749936838</v>
      </c>
      <c r="W181" s="99">
        <f ca="1">IF(S181&gt;1,IF(P181&gt;P180,MAX(AJ180-(Wfc-Wwp)*(P181-P180)*AJ180/S180,0),MAX(AJ180-(Wfc-Wwp)*(P181-P180)*AI180/R180,0)),0)</f>
        <v>4.22422031935126e-9</v>
      </c>
      <c r="X181" s="99">
        <f ca="1">IF(AND(OR(AND(dec_vide_TAW&lt;0,V181&gt;R181*(p+0.04*(5-I180))),AND(dec_vide_TAW&gt;0,V181&gt;R181*dec_vide_TAW)),H181&gt;MAX(INDEX(H:H,Lig_min,1):INDEX(H:H,ROW(X181),1))*Kcbmax_stop_irrig*IF(ROW(X181)-lig_kcbmax&gt;0,1,0),MIN(INDEX(H:H,ROW(X181),1):INDEX(H:H,lig_kcbmax,1))&gt;Kcbmin_start_irrig),MIN(MAX(V181-E181*Irri_man-C181,0),Lame_max),0)</f>
        <v>0</v>
      </c>
      <c r="Y181" s="99">
        <f ca="1">MIN(MAX(T181-C181-IF(fw&gt;0,X181/fw*Irri_auto+E181/fw*Irri_man,0),0),TEW)</f>
        <v>1.74078140468517</v>
      </c>
      <c r="Z181" s="99">
        <f ca="1">MIN(MAX(U181-C181,0),TEW)</f>
        <v>1.08693326073858</v>
      </c>
      <c r="AA181" s="99">
        <f ca="1">MIN(MAX(V181-C181-(X181*Irri_auto+E181*Irri_man),0),R181)</f>
        <v>3.03862749936838</v>
      </c>
      <c r="AB181" s="99">
        <f ca="1">MIN(MAX(W181+MIN(V181-C181-(X181*Irri_auto+E181*Irri_man),0),0),S181)</f>
        <v>4.22422031935126e-9</v>
      </c>
      <c r="AC181" s="99">
        <f ca="1">-MIN(W181+MIN(V181-C181-(X181*Irri_auto+E181*Irri_man),0),0)</f>
        <v>0</v>
      </c>
      <c r="AD181" s="39">
        <f ca="1">IF(((R181-AA181)/P181-((Wfc-Wwp)*Ze-Y181)/Ze)/Wfc*DiffE&lt;0,MAX(((R181-AA181)/P181-((Wfc-Wwp)*Ze-Y181)/Ze)/Wfc*DiffE,(R181*Ze-((Wfc-Wwp)*Ze-Y181-AA181)*P181)/(P181+Ze)-AA181),MIN(((R181-AA181)/P181-((Wfc-Wwp)*Ze-Y181)/Ze)/Wfc*DiffE,(R181*Ze-((Wfc-Wwp)*Ze-Y181-AA181)*P181)/(P181+Ze)-AA181))</f>
        <v>2.17575647030452e-8</v>
      </c>
      <c r="AE181" s="39">
        <f ca="1">IF(((R181-AA181)/P181-((Wfc-Wwp)*Ze-Z181)/Ze)/Wfc*DiffE&lt;0,MAX(((R181-AA181)/P181-((Wfc-Wwp)*Ze-Z181)/Ze)/Wfc*DiffE,(R181*Ze-((Wfc-Wwp)*Ze-Z181-AA181)*P181)/(P181+Ze)-AA181),MIN(((R181-AA181)/P181-((Wfc-Wwp)*Ze-Z181)/Ze)/Wfc*DiffE,(R181*Ze-((Wfc-Wwp)*Ze-Z181-AA181)*P181)/(P181+Ze)-AA181))</f>
        <v>8.6806018241134e-9</v>
      </c>
      <c r="AF181" s="39">
        <f ca="1">IF(((S181-AB181)/Q181-(R181-AA181)/P181)/Wfc*DiffR&lt;0,MAX(((S181-AB181)/Q181-(R181-AA181)/P181)/Wfc*DiffR,(S181*P181-(R181-AA181-AB181)*Q181)/(P181+Q181)-AB181),MIN(((S181-AB181)/Q181-(R181-AA181)/P181)/Wfc*DiffR,(S181*P181-(R181-AA181-AB181)*Q181)/(P181+Q181)-AB181))</f>
        <v>1.30580630618889e-8</v>
      </c>
      <c r="AG181" s="99">
        <f ca="1">MIN(MAX(Y181+IF(AU181&gt;0,B181*AZ181/AU181,0)+BE181-AD181,0),TEW)</f>
        <v>3.35434286793477</v>
      </c>
      <c r="AH181" s="99">
        <f ca="1">MIN(MAX(Z181+IF(AV181&gt;0,B181*BA181/AV181,0)+BF181-AE181,0),TEW)</f>
        <v>2.16066647886787</v>
      </c>
      <c r="AI181" s="99">
        <f ca="1" t="shared" si="23"/>
        <v>5.73596189312437</v>
      </c>
      <c r="AJ181" s="99">
        <f ca="1" t="shared" si="24"/>
        <v>1.72822833812402e-8</v>
      </c>
      <c r="AK181" s="70">
        <f ca="1">IF((AU181+AV181)&gt;0,(TEW-(AG181*AU181+AH181*AV181)/(AU181+AV181))/TEW,(TEW-(AG181+AH181)/2)/TEW)</f>
        <v>0.898736819081214</v>
      </c>
      <c r="AL181" s="70">
        <f ca="1" t="shared" si="25"/>
        <v>0.924155480345713</v>
      </c>
      <c r="AM181" s="70">
        <f ca="1" t="shared" si="26"/>
        <v>0.999999995861314</v>
      </c>
      <c r="AN181" s="70">
        <f ca="1">Wwp+(Wfc-Wwp)*IF((AU181+AV181)&gt;0,(TEW-(AG181*AU181+AH181*AV181)/(AU181+AV181))/TEW,(TEW-(AG181+AH181)/2)/TEW)</f>
        <v>0.386835786480558</v>
      </c>
      <c r="AO181" s="70">
        <f ca="1">Wwp+(Wfc-Wwp)*(R181-AI181)/R181</f>
        <v>0.390140212444943</v>
      </c>
      <c r="AP181" s="70">
        <f ca="1">Wwp+(Wfc-Wwp)*(S181-AJ181)/S181</f>
        <v>0.399999999461971</v>
      </c>
      <c r="AQ181" s="70"/>
      <c r="AR181" s="70"/>
      <c r="AS181" s="70"/>
      <c r="AT181" s="70"/>
      <c r="AU181" s="70">
        <f ca="1">MIN((1-G181),fw)</f>
        <v>0.0293333333333334</v>
      </c>
      <c r="AV181" s="70">
        <f ca="1" t="shared" si="27"/>
        <v>0</v>
      </c>
      <c r="AW181" s="70">
        <f ca="1">MIN((TEW-Y181)/(TEW-REW),1)</f>
        <v>0.120589489867008</v>
      </c>
      <c r="AX181" s="70">
        <f ca="1">MIN((TEW-Z181)/(TEW-REW),1)</f>
        <v>0.123101810315247</v>
      </c>
      <c r="AY181" s="70">
        <f ca="1">IF((AU181*(TEW-Y181))&gt;0,1/(1+((AV181*(TEW-Z181))/(AU181*(TEW-Y181)))),0)</f>
        <v>1</v>
      </c>
      <c r="AZ181" s="70">
        <f ca="1">MIN((AY181*AW181*(Kcmax-H181)),AU181*Kcmax)</f>
        <v>0.00672561273154876</v>
      </c>
      <c r="BA181" s="70">
        <f ca="1">MIN(((1-AY181)*AX181*(Kcmax-H181)),AV181*Kcmax)</f>
        <v>0</v>
      </c>
      <c r="BB181" s="70">
        <f ca="1" t="shared" si="28"/>
        <v>0.0164777511922945</v>
      </c>
      <c r="BC181" s="70">
        <f ca="1">MIN((R181-AA181)/(R181*(1-(p+0.04*(5-I180)))),1)</f>
        <v>1</v>
      </c>
      <c r="BD181" s="10">
        <f ca="1" t="shared" si="29"/>
        <v>2.68085665562175</v>
      </c>
      <c r="BE181" s="70">
        <f ca="1">MIN(IF((1-AA181/R181)&gt;0,(1-Y181/TEW)/(1-AA181/R181)*(Ze/P181)^0.6,0),1)*BC181*H181*B181</f>
        <v>1.05181996708804</v>
      </c>
      <c r="BF181" s="70">
        <f ca="1">MIN(IF((1-AA181/R181)&gt;0,(1-Z181/TEW)/(1-AA181/R181)*(Ze/P181)^0.6,0),1)*BC181*H181*B181</f>
        <v>1.07373322680989</v>
      </c>
      <c r="BH181" s="10">
        <f ca="1" t="shared" si="30"/>
        <v>0.897743376958771</v>
      </c>
      <c r="BI181" s="10">
        <f ca="1">IF(F181&lt;&gt;"",(Moy_Etobs-F181)^2,"")</f>
        <v>0.0198721539102677</v>
      </c>
    </row>
    <row r="182" spans="1:61">
      <c r="A182" s="38">
        <v>39175</v>
      </c>
      <c r="B182" s="10">
        <v>1.66</v>
      </c>
      <c r="C182" s="39">
        <v>1.782</v>
      </c>
      <c r="D182">
        <v>0.881</v>
      </c>
      <c r="E182" s="39">
        <v>0</v>
      </c>
      <c r="F182" s="10">
        <v>1.3775004</v>
      </c>
      <c r="G182" s="10">
        <f ca="1">MIN(MAX(IF(AND(Durpla&gt;ROW()-MATCH(NDVImax,INDEX(D:D,Lig_min,1):INDEX(D:D,Lig_max,1),0)-Lig_min+1,ROW()-MATCH(NDVImax,INDEX(D:D,Lig_min,1):INDEX(D:D,Lig_max,1),0)-Lig_min+1&gt;0,D182*a_fc+b_fc&gt;fc_fin),NDVImax*a_fc+b_fc,D182*a_fc+b_fc),0),1)</f>
        <v>0.974666666666667</v>
      </c>
      <c r="H182" s="55">
        <f>MIN(MAX(D182*a_kcb+b_kcb,0),Kcmax)</f>
        <v>1.09873638442448</v>
      </c>
      <c r="I182" s="70">
        <f ca="1" t="shared" si="22"/>
        <v>1.83421934984734</v>
      </c>
      <c r="O182" s="55"/>
      <c r="P182" s="35">
        <f ca="1">IF(ROW()-MATCH(NDVImax,INDEX(D:D,Lig_min,1):INDEX(D:D,Lig_max,1),0)-Lig_min+1&gt;0,MAX(MIN(Zr_min+MAX(INDEX(G:G,Lig_min,1):INDEX(G:G,Lig_max,1))/MAX(MAX(INDEX(G:G,Lig_min,1):INDEX(G:G,Lig_max,1)),Max_fc_pour_Zrmax)*(Zr_max-Zr_min),Zr_max),Ze+0.001),MAX(MIN(Zr_min+G182/MAX(MAX(INDEX(G:G,Lig_min,1):INDEX(G:G,Lig_max,1)),Max_fc_pour_Zrmax)*(Zr_max-Zr_min),Zr_max),Ze+0.001))</f>
        <v>583.635315924462</v>
      </c>
      <c r="Q182" s="35">
        <f ca="1">IF(Z_sol&gt;0,Z_sol-P182,0.1)</f>
        <v>30.2392351399725</v>
      </c>
      <c r="R182" s="35">
        <f ca="1">(Wfc-Wwp)*P182</f>
        <v>75.87259107018</v>
      </c>
      <c r="S182" s="35">
        <f ca="1">(Wfc-Wwp)*Q182</f>
        <v>3.93110056819642</v>
      </c>
      <c r="T182" s="99">
        <f ca="1" t="shared" si="31"/>
        <v>3.35434286793477</v>
      </c>
      <c r="U182" s="99">
        <f ca="1" t="shared" si="32"/>
        <v>2.16066647886787</v>
      </c>
      <c r="V182" s="99">
        <f ca="1">IF(P182&gt;P181,IF(Q182&gt;1,MAX(AI181+(Wfc-Wwp)*(P182-P181)*AJ181/S181,0),AI181/P181*P182),MAX(AI181+(Wfc-Wwp)*(P182-P181)*AI181/R181,0))</f>
        <v>5.73596189413706</v>
      </c>
      <c r="W182" s="99">
        <f ca="1">IF(S182&gt;1,IF(P182&gt;P181,MAX(AJ181-(Wfc-Wwp)*(P182-P181)*AJ181/S181,0),MAX(AJ181-(Wfc-Wwp)*(P182-P181)*AI181/R181,0)),0)</f>
        <v>1.62695917426527e-8</v>
      </c>
      <c r="X182" s="99">
        <f ca="1">IF(AND(OR(AND(dec_vide_TAW&lt;0,V182&gt;R182*(p+0.04*(5-I181))),AND(dec_vide_TAW&gt;0,V182&gt;R182*dec_vide_TAW)),H182&gt;MAX(INDEX(H:H,Lig_min,1):INDEX(H:H,ROW(X182),1))*Kcbmax_stop_irrig*IF(ROW(X182)-lig_kcbmax&gt;0,1,0),MIN(INDEX(H:H,ROW(X182),1):INDEX(H:H,lig_kcbmax,1))&gt;Kcbmin_start_irrig),MIN(MAX(V182-E182*Irri_man-C182,0),Lame_max),0)</f>
        <v>0</v>
      </c>
      <c r="Y182" s="99">
        <f ca="1">MIN(MAX(T182-C182-IF(fw&gt;0,X182/fw*Irri_auto+E182/fw*Irri_man,0),0),TEW)</f>
        <v>1.57234286793477</v>
      </c>
      <c r="Z182" s="99">
        <f ca="1">MIN(MAX(U182-C182,0),TEW)</f>
        <v>0.378666478867869</v>
      </c>
      <c r="AA182" s="99">
        <f ca="1">MIN(MAX(V182-C182-(X182*Irri_auto+E182*Irri_man),0),R182)</f>
        <v>3.95396189413706</v>
      </c>
      <c r="AB182" s="99">
        <f ca="1">MIN(MAX(W182+MIN(V182-C182-(X182*Irri_auto+E182*Irri_man),0),0),S182)</f>
        <v>1.62695917426527e-8</v>
      </c>
      <c r="AC182" s="99">
        <f ca="1">-MIN(W182+MIN(V182-C182-(X182*Irri_auto+E182*Irri_man),0),0)</f>
        <v>0</v>
      </c>
      <c r="AD182" s="39">
        <f ca="1">IF(((R182-AA182)/P182-((Wfc-Wwp)*Ze-Y182)/Ze)/Wfc*DiffE&lt;0,MAX(((R182-AA182)/P182-((Wfc-Wwp)*Ze-Y182)/Ze)/Wfc*DiffE,(R182*Ze-((Wfc-Wwp)*Ze-Y182-AA182)*P182)/(P182+Ze)-AA182),MIN(((R182-AA182)/P182-((Wfc-Wwp)*Ze-Y182)/Ze)/Wfc*DiffE,(R182*Ze-((Wfc-Wwp)*Ze-Y182-AA182)*P182)/(P182+Ze)-AA182))</f>
        <v>1.45100742929119e-8</v>
      </c>
      <c r="AE182" s="39">
        <f ca="1">IF(((R182-AA182)/P182-((Wfc-Wwp)*Ze-Z182)/Ze)/Wfc*DiffE&lt;0,MAX(((R182-AA182)/P182-((Wfc-Wwp)*Ze-Z182)/Ze)/Wfc*DiffE,(R182*Ze-((Wfc-Wwp)*Ze-Z182-AA182)*P182)/(P182+Ze)-AA182),MIN(((R182-AA182)/P182-((Wfc-Wwp)*Ze-Z182)/Ze)/Wfc*DiffE,(R182*Ze-((Wfc-Wwp)*Ze-Z182-AA182)*P182)/(P182+Ze)-AA182))</f>
        <v>-9.3634534884262e-9</v>
      </c>
      <c r="AF182" s="39">
        <f ca="1">IF(((S182-AB182)/Q182-(R182-AA182)/P182)/Wfc*DiffR&lt;0,MAX(((S182-AB182)/Q182-(R182-AA182)/P182)/Wfc*DiffR,(S182*P182-(R182-AA182-AB182)*Q182)/(P182+Q182)-AB182),MIN(((S182-AB182)/Q182-(R182-AA182)/P182)/Wfc*DiffR,(S182*P182-(R182-AA182-AB182)*Q182)/(P182+Q182)-AB182))</f>
        <v>1.69367817207106e-8</v>
      </c>
      <c r="AG182" s="99">
        <f ca="1">MIN(MAX(Y182+IF(AU182&gt;0,B182*AZ182/AU182,0)+BE182-AD182,0),TEW)</f>
        <v>2.70667769667717</v>
      </c>
      <c r="AH182" s="99">
        <f ca="1">MIN(MAX(Z182+IF(AV182&gt;0,B182*BA182/AV182,0)+BF182-AE182,0),TEW)</f>
        <v>1.13325983691908</v>
      </c>
      <c r="AI182" s="99">
        <f ca="1" t="shared" si="23"/>
        <v>5.78818122704762</v>
      </c>
      <c r="AJ182" s="99">
        <f ca="1" t="shared" si="24"/>
        <v>3.32063734633632e-8</v>
      </c>
      <c r="AK182" s="70">
        <f ca="1">IF((AU182+AV182)&gt;0,(TEW-(AG182*AU182+AH182*AV182)/(AU182+AV182))/TEW,(TEW-(AG182+AH182)/2)/TEW)</f>
        <v>0.918288975194651</v>
      </c>
      <c r="AL182" s="70">
        <f ca="1" t="shared" si="25"/>
        <v>0.923711828666907</v>
      </c>
      <c r="AM182" s="70">
        <f ca="1" t="shared" si="26"/>
        <v>0.999999991552907</v>
      </c>
      <c r="AN182" s="70">
        <f ca="1">Wwp+(Wfc-Wwp)*IF((AU182+AV182)&gt;0,(TEW-(AG182*AU182+AH182*AV182)/(AU182+AV182))/TEW,(TEW-(AG182+AH182)/2)/TEW)</f>
        <v>0.389377566775305</v>
      </c>
      <c r="AO182" s="70">
        <f ca="1">Wwp+(Wfc-Wwp)*(R182-AI182)/R182</f>
        <v>0.390082537726698</v>
      </c>
      <c r="AP182" s="70">
        <f ca="1">Wwp+(Wfc-Wwp)*(S182-AJ182)/S182</f>
        <v>0.399999998901878</v>
      </c>
      <c r="AQ182" s="70"/>
      <c r="AR182" s="70"/>
      <c r="AS182" s="70"/>
      <c r="AT182" s="70"/>
      <c r="AU182" s="70">
        <f ca="1">MIN((1-G182),fw)</f>
        <v>0.0253333333333334</v>
      </c>
      <c r="AV182" s="70">
        <f ca="1" t="shared" si="27"/>
        <v>0</v>
      </c>
      <c r="AW182" s="70">
        <f ca="1">MIN((TEW-Y182)/(TEW-REW),1)</f>
        <v>0.121236691490301</v>
      </c>
      <c r="AX182" s="70">
        <f ca="1">MIN((TEW-Z182)/(TEW-REW),1)</f>
        <v>0.125823226802203</v>
      </c>
      <c r="AY182" s="70">
        <f ca="1">IF((AU182*(TEW-Y182))&gt;0,1/(1+((AV182*(TEW-Z182))/(AU182*(TEW-Y182)))),0)</f>
        <v>1</v>
      </c>
      <c r="AZ182" s="70">
        <f ca="1">MIN((AY182*AW182*(Kcmax-H182)),AU182*Kcmax)</f>
        <v>0.00621503114620671</v>
      </c>
      <c r="BA182" s="70">
        <f ca="1">MIN(((1-AY182)*AX182*(Kcmax-H182)),AV182*Kcmax)</f>
        <v>0</v>
      </c>
      <c r="BB182" s="70">
        <f ca="1" t="shared" si="28"/>
        <v>0.0103169517027031</v>
      </c>
      <c r="BC182" s="70">
        <f ca="1">MIN((R182-AA182)/(R182*(1-(p+0.04*(5-I181)))),1)</f>
        <v>1</v>
      </c>
      <c r="BD182" s="10">
        <f ca="1" t="shared" si="29"/>
        <v>1.82390239814464</v>
      </c>
      <c r="BE182" s="70">
        <f ca="1">MIN(IF((1-AA182/R182)&gt;0,(1-Y182/TEW)/(1-AA182/R182)*(Ze/P182)^0.6,0),1)*BC182*H182*B182</f>
        <v>0.727086749724721</v>
      </c>
      <c r="BF182" s="70">
        <f ca="1">MIN(IF((1-AA182/R182)&gt;0,(1-Z182/TEW)/(1-AA182/R182)*(Ze/P182)^0.6,0),1)*BC182*H182*B182</f>
        <v>0.754593348687754</v>
      </c>
      <c r="BH182" s="10">
        <f ca="1" t="shared" si="30"/>
        <v>0.208592199149657</v>
      </c>
      <c r="BI182" s="10">
        <f ca="1">IF(F182&lt;&gt;"",(Moy_Etobs-F182)^2,"")</f>
        <v>0.0535330822549118</v>
      </c>
    </row>
    <row r="183" spans="1:61">
      <c r="A183" s="38">
        <v>39176</v>
      </c>
      <c r="B183" s="10">
        <v>1.483</v>
      </c>
      <c r="C183" s="39">
        <v>1.782</v>
      </c>
      <c r="D183">
        <v>0.884</v>
      </c>
      <c r="E183" s="39">
        <v>0</v>
      </c>
      <c r="F183" s="10">
        <v>1.5110406</v>
      </c>
      <c r="G183" s="10">
        <f ca="1">MIN(MAX(IF(AND(Durpla&gt;ROW()-MATCH(NDVImax,INDEX(D:D,Lig_min,1):INDEX(D:D,Lig_max,1),0)-Lig_min+1,ROW()-MATCH(NDVImax,INDEX(D:D,Lig_min,1):INDEX(D:D,Lig_max,1),0)-Lig_min+1&gt;0,D183*a_fc+b_fc&gt;fc_fin),NDVImax*a_fc+b_fc,D183*a_fc+b_fc),0),1)</f>
        <v>0.978666666666667</v>
      </c>
      <c r="H183" s="55">
        <f>MIN(MAX(D183*a_kcb+b_kcb,0),Kcmax)</f>
        <v>1.10324556247273</v>
      </c>
      <c r="I183" s="70">
        <f ca="1" t="shared" si="22"/>
        <v>1.6446918862063</v>
      </c>
      <c r="O183" s="55"/>
      <c r="P183" s="35">
        <f ca="1">IF(ROW()-MATCH(NDVImax,INDEX(D:D,Lig_min,1):INDEX(D:D,Lig_max,1),0)-Lig_min+1&gt;0,MAX(MIN(Zr_min+MAX(INDEX(G:G,Lig_min,1):INDEX(G:G,Lig_max,1))/MAX(MAX(INDEX(G:G,Lig_min,1):INDEX(G:G,Lig_max,1)),Max_fc_pour_Zrmax)*(Zr_max-Zr_min),Zr_max),Ze+0.001),MAX(MIN(Zr_min+G183/MAX(MAX(INDEX(G:G,Lig_min,1):INDEX(G:G,Lig_max,1)),Max_fc_pour_Zrmax)*(Zr_max-Zr_min),Zr_max),Ze+0.001))</f>
        <v>585.517540203221</v>
      </c>
      <c r="Q183" s="35">
        <f ca="1">IF(Z_sol&gt;0,Z_sol-P183,0.1)</f>
        <v>28.3570108612128</v>
      </c>
      <c r="R183" s="35">
        <f ca="1">(Wfc-Wwp)*P183</f>
        <v>76.1172802264188</v>
      </c>
      <c r="S183" s="35">
        <f ca="1">(Wfc-Wwp)*Q183</f>
        <v>3.68641141195766</v>
      </c>
      <c r="T183" s="99">
        <f ca="1" t="shared" si="31"/>
        <v>2.70667769667717</v>
      </c>
      <c r="U183" s="99">
        <f ca="1" t="shared" si="32"/>
        <v>1.13325983691908</v>
      </c>
      <c r="V183" s="99">
        <f ca="1">IF(P183&gt;P182,IF(Q183&gt;1,MAX(AI182+(Wfc-Wwp)*(P183-P182)*AJ182/S182,0),AI182/P182*P183),MAX(AI182+(Wfc-Wwp)*(P183-P182)*AI182/R182,0))</f>
        <v>5.78818122911453</v>
      </c>
      <c r="W183" s="99">
        <f ca="1">IF(S183&gt;1,IF(P183&gt;P182,MAX(AJ182-(Wfc-Wwp)*(P183-P182)*AJ182/S182,0),MAX(AJ182-(Wfc-Wwp)*(P183-P182)*AI182/R182,0)),0)</f>
        <v>3.11394613191574e-8</v>
      </c>
      <c r="X183" s="99">
        <f ca="1">IF(AND(OR(AND(dec_vide_TAW&lt;0,V183&gt;R183*(p+0.04*(5-I182))),AND(dec_vide_TAW&gt;0,V183&gt;R183*dec_vide_TAW)),H183&gt;MAX(INDEX(H:H,Lig_min,1):INDEX(H:H,ROW(X183),1))*Kcbmax_stop_irrig*IF(ROW(X183)-lig_kcbmax&gt;0,1,0),MIN(INDEX(H:H,ROW(X183),1):INDEX(H:H,lig_kcbmax,1))&gt;Kcbmin_start_irrig),MIN(MAX(V183-E183*Irri_man-C183,0),Lame_max),0)</f>
        <v>0</v>
      </c>
      <c r="Y183" s="99">
        <f ca="1">MIN(MAX(T183-C183-IF(fw&gt;0,X183/fw*Irri_auto+E183/fw*Irri_man,0),0),TEW)</f>
        <v>0.924677696677174</v>
      </c>
      <c r="Z183" s="99">
        <f ca="1">MIN(MAX(U183-C183,0),TEW)</f>
        <v>0</v>
      </c>
      <c r="AA183" s="99">
        <f ca="1">MIN(MAX(V183-C183-(X183*Irri_auto+E183*Irri_man),0),R183)</f>
        <v>4.00618122911453</v>
      </c>
      <c r="AB183" s="99">
        <f ca="1">MIN(MAX(W183+MIN(V183-C183-(X183*Irri_auto+E183*Irri_man),0),0),S183)</f>
        <v>3.11394613191574e-8</v>
      </c>
      <c r="AC183" s="99">
        <f ca="1">-MIN(W183+MIN(V183-C183-(X183*Irri_auto+E183*Irri_man),0),0)</f>
        <v>0</v>
      </c>
      <c r="AD183" s="39">
        <f ca="1">IF(((R183-AA183)/P183-((Wfc-Wwp)*Ze-Y183)/Ze)/Wfc*DiffE&lt;0,MAX(((R183-AA183)/P183-((Wfc-Wwp)*Ze-Y183)/Ze)/Wfc*DiffE,(R183*Ze-((Wfc-Wwp)*Ze-Y183-AA183)*P183)/(P183+Ze)-AA183),MIN(((R183-AA183)/P183-((Wfc-Wwp)*Ze-Y183)/Ze)/Wfc*DiffE,(R183*Ze-((Wfc-Wwp)*Ze-Y183-AA183)*P183)/(P183+Ze)-AA183))</f>
        <v>1.38825411740106e-9</v>
      </c>
      <c r="AE183" s="39">
        <f ca="1">IF(((R183-AA183)/P183-((Wfc-Wwp)*Ze-Z183)/Ze)/Wfc*DiffE&lt;0,MAX(((R183-AA183)/P183-((Wfc-Wwp)*Ze-Z183)/Ze)/Wfc*DiffE,(R183*Ze-((Wfc-Wwp)*Ze-Z183-AA183)*P183)/(P183+Ze)-AA183),MIN(((R183-AA183)/P183-((Wfc-Wwp)*Ze-Z183)/Ze)/Wfc*DiffE,(R183*Ze-((Wfc-Wwp)*Ze-Z183-AA183)*P183)/(P183+Ze)-AA183))</f>
        <v>-1.71052998161424e-8</v>
      </c>
      <c r="AF183" s="39">
        <f ca="1">IF(((S183-AB183)/Q183-(R183-AA183)/P183)/Wfc*DiffR&lt;0,MAX(((S183-AB183)/Q183-(R183-AA183)/P183)/Wfc*DiffR,(S183*P183-(R183-AA183-AB183)*Q183)/(P183+Q183)-AB183),MIN(((S183-AB183)/Q183-(R183-AA183)/P183)/Wfc*DiffR,(S183*P183-(R183-AA183-AB183)*Q183)/(P183+Q183)-AB183))</f>
        <v>1.71052970708371e-8</v>
      </c>
      <c r="AG183" s="99">
        <f ca="1">MIN(MAX(Y183+IF(AU183&gt;0,B183*AZ183/AU183,0)+BE183-AD183,0),TEW)</f>
        <v>1.99149771533924</v>
      </c>
      <c r="AH183" s="99">
        <f ca="1">MIN(MAX(Z183+IF(AV183&gt;0,B183*BA183/AV183,0)+BF183-AE183,0),TEW)</f>
        <v>0.683780262702967</v>
      </c>
      <c r="AI183" s="99">
        <f ca="1" t="shared" si="23"/>
        <v>5.65087309821553</v>
      </c>
      <c r="AJ183" s="99">
        <f ca="1" t="shared" si="24"/>
        <v>4.82447583899944e-8</v>
      </c>
      <c r="AK183" s="70">
        <f ca="1">IF((AU183+AV183)&gt;0,(TEW-(AG183*AU183+AH183*AV183)/(AU183+AV183))/TEW,(TEW-(AG183+AH183)/2)/TEW)</f>
        <v>0.93987931425391</v>
      </c>
      <c r="AL183" s="70">
        <f ca="1" t="shared" si="25"/>
        <v>0.925760969369814</v>
      </c>
      <c r="AM183" s="70">
        <f ca="1" t="shared" si="26"/>
        <v>0.999999986912812</v>
      </c>
      <c r="AN183" s="70">
        <f ca="1">Wwp+(Wfc-Wwp)*IF((AU183+AV183)&gt;0,(TEW-(AG183*AU183+AH183*AV183)/(AU183+AV183))/TEW,(TEW-(AG183+AH183)/2)/TEW)</f>
        <v>0.392184310853008</v>
      </c>
      <c r="AO183" s="70">
        <f ca="1">Wwp+(Wfc-Wwp)*(R183-AI183)/R183</f>
        <v>0.390348926018076</v>
      </c>
      <c r="AP183" s="70">
        <f ca="1">Wwp+(Wfc-Wwp)*(S183-AJ183)/S183</f>
        <v>0.399999998298666</v>
      </c>
      <c r="AQ183" s="70"/>
      <c r="AR183" s="70"/>
      <c r="AS183" s="70"/>
      <c r="AT183" s="70"/>
      <c r="AU183" s="70">
        <f ca="1">MIN((1-G183),fw)</f>
        <v>0.0213333333333334</v>
      </c>
      <c r="AV183" s="70">
        <f ca="1" t="shared" si="27"/>
        <v>0</v>
      </c>
      <c r="AW183" s="70">
        <f ca="1">MIN((TEW-Y183)/(TEW-REW),1)</f>
        <v>0.123725254726929</v>
      </c>
      <c r="AX183" s="70">
        <f ca="1">MIN((TEW-Z183)/(TEW-REW),1)</f>
        <v>0.12727820001996</v>
      </c>
      <c r="AY183" s="70">
        <f ca="1">IF((AU183*(TEW-Y183))&gt;0,1/(1+((AV183*(TEW-Z183))/(AU183*(TEW-Y183)))),0)</f>
        <v>1</v>
      </c>
      <c r="AZ183" s="70">
        <f ca="1">MIN((AY183*AW183*(Kcmax-H183)),AU183*Kcmax)</f>
        <v>0.00578470469267531</v>
      </c>
      <c r="BA183" s="70">
        <f ca="1">MIN(((1-AY183)*AX183*(Kcmax-H183)),AV183*Kcmax)</f>
        <v>0</v>
      </c>
      <c r="BB183" s="70">
        <f ca="1" t="shared" si="28"/>
        <v>0.00857871705923748</v>
      </c>
      <c r="BC183" s="70">
        <f ca="1">MIN((R183-AA183)/(R183*(1-(p+0.04*(5-I182)))),1)</f>
        <v>1</v>
      </c>
      <c r="BD183" s="10">
        <f ca="1" t="shared" si="29"/>
        <v>1.63611316914706</v>
      </c>
      <c r="BE183" s="70">
        <f ca="1">MIN(IF((1-AA183/R183)&gt;0,(1-Y183/TEW)/(1-AA183/R183)*(Ze/P183)^0.6,0),1)*BC183*H183*B183</f>
        <v>0.66469265789857</v>
      </c>
      <c r="BF183" s="70">
        <f ca="1">MIN(IF((1-AA183/R183)&gt;0,(1-Z183/TEW)/(1-AA183/R183)*(Ze/P183)^0.6,0),1)*BC183*H183*B183</f>
        <v>0.683780245597667</v>
      </c>
      <c r="BH183" s="10">
        <f ca="1" t="shared" si="30"/>
        <v>0.0178626663045987</v>
      </c>
      <c r="BI183" s="10">
        <f ca="1">IF(F183&lt;&gt;"",(Moy_Etobs-F183)^2,"")</f>
        <v>0.00957109486334312</v>
      </c>
    </row>
    <row r="184" spans="1:61">
      <c r="A184" s="38">
        <v>39177</v>
      </c>
      <c r="B184" s="10">
        <v>1.665</v>
      </c>
      <c r="C184" s="39">
        <v>0.198</v>
      </c>
      <c r="D184">
        <v>0.887</v>
      </c>
      <c r="E184" s="39">
        <v>0</v>
      </c>
      <c r="F184" s="10">
        <v>1.9003446</v>
      </c>
      <c r="G184" s="10">
        <f ca="1">MIN(MAX(IF(AND(Durpla&gt;ROW()-MATCH(NDVImax,INDEX(D:D,Lig_min,1):INDEX(D:D,Lig_max,1),0)-Lig_min+1,ROW()-MATCH(NDVImax,INDEX(D:D,Lig_min,1):INDEX(D:D,Lig_max,1),0)-Lig_min+1&gt;0,D184*a_fc+b_fc&gt;fc_fin),NDVImax*a_fc+b_fc,D184*a_fc+b_fc),0),1)</f>
        <v>0.982666666666667</v>
      </c>
      <c r="H184" s="55">
        <f>MIN(MAX(D184*a_kcb+b_kcb,0),Kcmax)</f>
        <v>1.10775474052099</v>
      </c>
      <c r="I184" s="70">
        <f ca="1" t="shared" si="22"/>
        <v>1.85287946216832</v>
      </c>
      <c r="O184" s="55"/>
      <c r="P184" s="35">
        <f ca="1">IF(ROW()-MATCH(NDVImax,INDEX(D:D,Lig_min,1):INDEX(D:D,Lig_max,1),0)-Lig_min+1&gt;0,MAX(MIN(Zr_min+MAX(INDEX(G:G,Lig_min,1):INDEX(G:G,Lig_max,1))/MAX(MAX(INDEX(G:G,Lig_min,1):INDEX(G:G,Lig_max,1)),Max_fc_pour_Zrmax)*(Zr_max-Zr_min),Zr_max),Ze+0.001),MAX(MIN(Zr_min+G184/MAX(MAX(INDEX(G:G,Lig_min,1):INDEX(G:G,Lig_max,1)),Max_fc_pour_Zrmax)*(Zr_max-Zr_min),Zr_max),Ze+0.001))</f>
        <v>587.399764481981</v>
      </c>
      <c r="Q184" s="35">
        <f ca="1">IF(Z_sol&gt;0,Z_sol-P184,0.1)</f>
        <v>26.474786582453</v>
      </c>
      <c r="R184" s="35">
        <f ca="1">(Wfc-Wwp)*P184</f>
        <v>76.3619693826575</v>
      </c>
      <c r="S184" s="35">
        <f ca="1">(Wfc-Wwp)*Q184</f>
        <v>3.44172225571889</v>
      </c>
      <c r="T184" s="99">
        <f ca="1" t="shared" si="31"/>
        <v>1.99149771533924</v>
      </c>
      <c r="U184" s="99">
        <f ca="1" t="shared" si="32"/>
        <v>0.683780262702967</v>
      </c>
      <c r="V184" s="99">
        <f ca="1">IF(P184&gt;P183,IF(Q184&gt;1,MAX(AI183+(Wfc-Wwp)*(P184-P183)*AJ183/S183,0),AI183/P183*P184),MAX(AI183+(Wfc-Wwp)*(P184-P183)*AI183/R183,0))</f>
        <v>5.65087310141783</v>
      </c>
      <c r="W184" s="99">
        <f ca="1">IF(S184&gt;1,IF(P184&gt;P183,MAX(AJ183-(Wfc-Wwp)*(P184-P183)*AJ183/S183,0),MAX(AJ183-(Wfc-Wwp)*(P184-P183)*AI183/R183,0)),0)</f>
        <v>4.50424654540788e-8</v>
      </c>
      <c r="X184" s="99">
        <f ca="1">IF(AND(OR(AND(dec_vide_TAW&lt;0,V184&gt;R184*(p+0.04*(5-I183))),AND(dec_vide_TAW&gt;0,V184&gt;R184*dec_vide_TAW)),H184&gt;MAX(INDEX(H:H,Lig_min,1):INDEX(H:H,ROW(X184),1))*Kcbmax_stop_irrig*IF(ROW(X184)-lig_kcbmax&gt;0,1,0),MIN(INDEX(H:H,ROW(X184),1):INDEX(H:H,lig_kcbmax,1))&gt;Kcbmin_start_irrig),MIN(MAX(V184-E184*Irri_man-C184,0),Lame_max),0)</f>
        <v>0</v>
      </c>
      <c r="Y184" s="99">
        <f ca="1">MIN(MAX(T184-C184-IF(fw&gt;0,X184/fw*Irri_auto+E184/fw*Irri_man,0),0),TEW)</f>
        <v>1.79349771533924</v>
      </c>
      <c r="Z184" s="99">
        <f ca="1">MIN(MAX(U184-C184,0),TEW)</f>
        <v>0.485780262702967</v>
      </c>
      <c r="AA184" s="99">
        <f ca="1">MIN(MAX(V184-C184-(X184*Irri_auto+E184*Irri_man),0),R184)</f>
        <v>5.45287310141783</v>
      </c>
      <c r="AB184" s="99">
        <f ca="1">MIN(MAX(W184+MIN(V184-C184-(X184*Irri_auto+E184*Irri_man),0),0),S184)</f>
        <v>4.50424654540788e-8</v>
      </c>
      <c r="AC184" s="99">
        <f ca="1">-MIN(W184+MIN(V184-C184-(X184*Irri_auto+E184*Irri_man),0),0)</f>
        <v>0</v>
      </c>
      <c r="AD184" s="39">
        <f ca="1">IF(((R184-AA184)/P184-((Wfc-Wwp)*Ze-Y184)/Ze)/Wfc*DiffE&lt;0,MAX(((R184-AA184)/P184-((Wfc-Wwp)*Ze-Y184)/Ze)/Wfc*DiffE,(R184*Ze-((Wfc-Wwp)*Ze-Y184-AA184)*P184)/(P184+Ze)-AA184),MIN(((R184-AA184)/P184-((Wfc-Wwp)*Ze-Y184)/Ze)/Wfc*DiffE,(R184*Ze-((Wfc-Wwp)*Ze-Y184-AA184)*P184)/(P184+Ze)-AA184))</f>
        <v>1.26622794355384e-8</v>
      </c>
      <c r="AE184" s="39">
        <f ca="1">IF(((R184-AA184)/P184-((Wfc-Wwp)*Ze-Z184)/Ze)/Wfc*DiffE&lt;0,MAX(((R184-AA184)/P184-((Wfc-Wwp)*Ze-Z184)/Ze)/Wfc*DiffE,(R184*Ze-((Wfc-Wwp)*Ze-Z184-AA184)*P184)/(P184+Ze)-AA184),MIN(((R184-AA184)/P184-((Wfc-Wwp)*Ze-Z184)/Ze)/Wfc*DiffE,(R184*Ze-((Wfc-Wwp)*Ze-Z184-AA184)*P184)/(P184+Ze)-AA184))</f>
        <v>-1.34920696171871e-8</v>
      </c>
      <c r="AF184" s="39">
        <f ca="1">IF(((S184-AB184)/Q184-(R184-AA184)/P184)/Wfc*DiffR&lt;0,MAX(((S184-AB184)/Q184-(R184-AA184)/P184)/Wfc*DiffR,(S184*P184-(R184-AA184-AB184)*Q184)/(P184+Q184)-AB184),MIN(((S184-AB184)/Q184-(R184-AA184)/P184)/Wfc*DiffR,(S184*P184-(R184-AA184-AB184)*Q184)/(P184+Q184)-AB184))</f>
        <v>2.32076706179105e-8</v>
      </c>
      <c r="AG184" s="99">
        <f ca="1">MIN(MAX(Y184+IF(AU184&gt;0,B184*AZ184/AU184,0)+BE184-AD184,0),TEW)</f>
        <v>3.02443623084241</v>
      </c>
      <c r="AH184" s="99">
        <f ca="1">MIN(MAX(Z184+IF(AV184&gt;0,B184*BA184/AV184,0)+BF184-AE184,0),TEW)</f>
        <v>1.25917757894753</v>
      </c>
      <c r="AI184" s="99">
        <f ca="1" t="shared" si="23"/>
        <v>7.30575254037848</v>
      </c>
      <c r="AJ184" s="99">
        <f ca="1" t="shared" si="24"/>
        <v>6.82501360719892e-8</v>
      </c>
      <c r="AK184" s="70">
        <f ca="1">IF((AU184+AV184)&gt;0,(TEW-(AG184*AU184+AH184*AV184)/(AU184+AV184))/TEW,(TEW-(AG184+AH184)/2)/TEW)</f>
        <v>0.908696264729286</v>
      </c>
      <c r="AL184" s="70">
        <f ca="1" t="shared" si="25"/>
        <v>0.904327342531351</v>
      </c>
      <c r="AM184" s="70">
        <f ca="1" t="shared" si="26"/>
        <v>0.999999980169772</v>
      </c>
      <c r="AN184" s="70">
        <f ca="1">Wwp+(Wfc-Wwp)*IF((AU184+AV184)&gt;0,(TEW-(AG184*AU184+AH184*AV184)/(AU184+AV184))/TEW,(TEW-(AG184+AH184)/2)/TEW)</f>
        <v>0.388130514414807</v>
      </c>
      <c r="AO184" s="70">
        <f ca="1">Wwp+(Wfc-Wwp)*(R184-AI184)/R184</f>
        <v>0.387562554529076</v>
      </c>
      <c r="AP184" s="70">
        <f ca="1">Wwp+(Wfc-Wwp)*(S184-AJ184)/S184</f>
        <v>0.39999999742207</v>
      </c>
      <c r="AQ184" s="70"/>
      <c r="AR184" s="70"/>
      <c r="AS184" s="70"/>
      <c r="AT184" s="70"/>
      <c r="AU184" s="70">
        <f ca="1">MIN((1-G184),fw)</f>
        <v>0.0173333333333334</v>
      </c>
      <c r="AV184" s="70">
        <f ca="1" t="shared" si="27"/>
        <v>0</v>
      </c>
      <c r="AW184" s="70">
        <f ca="1">MIN((TEW-Y184)/(TEW-REW),1)</f>
        <v>0.120386934783786</v>
      </c>
      <c r="AX184" s="70">
        <f ca="1">MIN((TEW-Z184)/(TEW-REW),1)</f>
        <v>0.125411657002842</v>
      </c>
      <c r="AY184" s="70">
        <f ca="1">IF((AU184*(TEW-Y184))&gt;0,1/(1+((AV184*(TEW-Z184))/(AU184*(TEW-Y184)))),0)</f>
        <v>1</v>
      </c>
      <c r="AZ184" s="70">
        <f ca="1">MIN((AY184*AW184*(Kcmax-H184)),AU184*Kcmax)</f>
        <v>0.00508577729782396</v>
      </c>
      <c r="BA184" s="70">
        <f ca="1">MIN(((1-AY184)*AX184*(Kcmax-H184)),AV184*Kcmax)</f>
        <v>0</v>
      </c>
      <c r="BB184" s="70">
        <f ca="1" t="shared" si="28"/>
        <v>0.00846781920087689</v>
      </c>
      <c r="BC184" s="70">
        <f ca="1">MIN((R184-AA184)/(R184*(1-(p+0.04*(5-I183)))),1)</f>
        <v>1</v>
      </c>
      <c r="BD184" s="10">
        <f ca="1" t="shared" si="29"/>
        <v>1.84441164296744</v>
      </c>
      <c r="BE184" s="70">
        <f ca="1">MIN(IF((1-AA184/R184)&gt;0,(1-Y184/TEW)/(1-AA184/R184)*(Ze/P184)^0.6,0),1)*BC184*H184*B184</f>
        <v>0.742410497345632</v>
      </c>
      <c r="BF184" s="70">
        <f ca="1">MIN(IF((1-AA184/R184)&gt;0,(1-Z184/TEW)/(1-AA184/R184)*(Ze/P184)^0.6,0),1)*BC184*H184*B184</f>
        <v>0.773397302752488</v>
      </c>
      <c r="BH184" s="10">
        <f ca="1" t="shared" si="30"/>
        <v>0.00225293930938027</v>
      </c>
      <c r="BI184" s="10">
        <f ca="1">IF(F184&lt;&gt;"",(Moy_Etobs-F184)^2,"")</f>
        <v>0.0849559427550695</v>
      </c>
    </row>
    <row r="185" spans="1:61">
      <c r="A185" s="38">
        <v>39178</v>
      </c>
      <c r="B185" s="10">
        <v>2.498</v>
      </c>
      <c r="C185" s="39">
        <v>0</v>
      </c>
      <c r="D185">
        <v>0.89</v>
      </c>
      <c r="E185" s="39">
        <v>0</v>
      </c>
      <c r="F185" s="10">
        <v>2.5612146</v>
      </c>
      <c r="G185" s="10">
        <f ca="1">MIN(MAX(IF(AND(Durpla&gt;ROW()-MATCH(NDVImax,INDEX(D:D,Lig_min,1):INDEX(D:D,Lig_max,1),0)-Lig_min+1,ROW()-MATCH(NDVImax,INDEX(D:D,Lig_min,1):INDEX(D:D,Lig_max,1),0)-Lig_min+1&gt;0,D185*a_fc+b_fc&gt;fc_fin),NDVImax*a_fc+b_fc,D185*a_fc+b_fc),0),1)</f>
        <v>0.986666666666667</v>
      </c>
      <c r="H185" s="55">
        <f>MIN(MAX(D185*a_kcb+b_kcb,0),Kcmax)</f>
        <v>1.11226391856924</v>
      </c>
      <c r="I185" s="70">
        <f ca="1" t="shared" si="22"/>
        <v>2.78933766583099</v>
      </c>
      <c r="O185" s="55"/>
      <c r="P185" s="35">
        <f ca="1">IF(ROW()-MATCH(NDVImax,INDEX(D:D,Lig_min,1):INDEX(D:D,Lig_max,1),0)-Lig_min+1&gt;0,MAX(MIN(Zr_min+MAX(INDEX(G:G,Lig_min,1):INDEX(G:G,Lig_max,1))/MAX(MAX(INDEX(G:G,Lig_min,1):INDEX(G:G,Lig_max,1)),Max_fc_pour_Zrmax)*(Zr_max-Zr_min),Zr_max),Ze+0.001),MAX(MIN(Zr_min+G185/MAX(MAX(INDEX(G:G,Lig_min,1):INDEX(G:G,Lig_max,1)),Max_fc_pour_Zrmax)*(Zr_max-Zr_min),Zr_max),Ze+0.001))</f>
        <v>589.281988760741</v>
      </c>
      <c r="Q185" s="35">
        <f ca="1">IF(Z_sol&gt;0,Z_sol-P185,0.1)</f>
        <v>24.5925623036932</v>
      </c>
      <c r="R185" s="35">
        <f ca="1">(Wfc-Wwp)*P185</f>
        <v>76.6066585388963</v>
      </c>
      <c r="S185" s="35">
        <f ca="1">(Wfc-Wwp)*Q185</f>
        <v>3.19703309948011</v>
      </c>
      <c r="T185" s="99">
        <f ca="1" t="shared" si="31"/>
        <v>3.02443623084241</v>
      </c>
      <c r="U185" s="99">
        <f ca="1" t="shared" si="32"/>
        <v>1.25917757894753</v>
      </c>
      <c r="V185" s="99">
        <f ca="1">IF(P185&gt;P184,IF(Q185&gt;1,MAX(AI184+(Wfc-Wwp)*(P185-P184)*AJ184/S184,0),AI184/P184*P185),MAX(AI184+(Wfc-Wwp)*(P185-P184)*AI184/R184,0))</f>
        <v>7.30575254523072</v>
      </c>
      <c r="W185" s="99">
        <f ca="1">IF(S185&gt;1,IF(P185&gt;P184,MAX(AJ184-(Wfc-Wwp)*(P185-P184)*AJ184/S184,0),MAX(AJ184-(Wfc-Wwp)*(P185-P184)*AI184/R184,0)),0)</f>
        <v>6.33978943837218e-8</v>
      </c>
      <c r="X185" s="99">
        <f ca="1">IF(AND(OR(AND(dec_vide_TAW&lt;0,V185&gt;R185*(p+0.04*(5-I184))),AND(dec_vide_TAW&gt;0,V185&gt;R185*dec_vide_TAW)),H185&gt;MAX(INDEX(H:H,Lig_min,1):INDEX(H:H,ROW(X185),1))*Kcbmax_stop_irrig*IF(ROW(X185)-lig_kcbmax&gt;0,1,0),MIN(INDEX(H:H,ROW(X185),1):INDEX(H:H,lig_kcbmax,1))&gt;Kcbmin_start_irrig),MIN(MAX(V185-E185*Irri_man-C185,0),Lame_max),0)</f>
        <v>0</v>
      </c>
      <c r="Y185" s="99">
        <f ca="1">MIN(MAX(T185-C185-IF(fw&gt;0,X185/fw*Irri_auto+E185/fw*Irri_man,0),0),TEW)</f>
        <v>3.02443623084241</v>
      </c>
      <c r="Z185" s="99">
        <f ca="1">MIN(MAX(U185-C185,0),TEW)</f>
        <v>1.25917757894753</v>
      </c>
      <c r="AA185" s="99">
        <f ca="1">MIN(MAX(V185-C185-(X185*Irri_auto+E185*Irri_man),0),R185)</f>
        <v>7.30575254523072</v>
      </c>
      <c r="AB185" s="99">
        <f ca="1">MIN(MAX(W185+MIN(V185-C185-(X185*Irri_auto+E185*Irri_man),0),0),S185)</f>
        <v>6.33978943837218e-8</v>
      </c>
      <c r="AC185" s="99">
        <f ca="1">-MIN(W185+MIN(V185-C185-(X185*Irri_auto+E185*Irri_man),0),0)</f>
        <v>0</v>
      </c>
      <c r="AD185" s="39">
        <f ca="1">IF(((R185-AA185)/P185-((Wfc-Wwp)*Ze-Y185)/Ze)/Wfc*DiffE&lt;0,MAX(((R185-AA185)/P185-((Wfc-Wwp)*Ze-Y185)/Ze)/Wfc*DiffE,(R185*Ze-((Wfc-Wwp)*Ze-Y185-AA185)*P185)/(P185+Ze)-AA185),MIN(((R185-AA185)/P185-((Wfc-Wwp)*Ze-Y185)/Ze)/Wfc*DiffE,(R185*Ze-((Wfc-Wwp)*Ze-Y185-AA185)*P185)/(P185+Ze)-AA185))</f>
        <v>2.94944269606671e-8</v>
      </c>
      <c r="AE185" s="39">
        <f ca="1">IF(((R185-AA185)/P185-((Wfc-Wwp)*Ze-Z185)/Ze)/Wfc*DiffE&lt;0,MAX(((R185-AA185)/P185-((Wfc-Wwp)*Ze-Z185)/Ze)/Wfc*DiffE,(R185*Ze-((Wfc-Wwp)*Ze-Z185-AA185)*P185)/(P185+Ze)-AA185),MIN(((R185-AA185)/P185-((Wfc-Wwp)*Ze-Z185)/Ze)/Wfc*DiffE,(R185*Ze-((Wfc-Wwp)*Ze-Z185-AA185)*P185)/(P185+Ze)-AA185))</f>
        <v>-5.81074607723067e-9</v>
      </c>
      <c r="AF185" s="39">
        <f ca="1">IF(((S185-AB185)/Q185-(R185-AA185)/P185)/Wfc*DiffR&lt;0,MAX(((S185-AB185)/Q185-(R185-AA185)/P185)/Wfc*DiffR,(S185*P185-(R185-AA185-AB185)*Q185)/(P185+Q185)-AB185),MIN(((S185-AB185)/Q185-(R185-AA185)/P185)/Wfc*DiffR,(S185*P185-(R185-AA185-AB185)*Q185)/(P185+Q185)-AB185))</f>
        <v>3.09942912113571e-8</v>
      </c>
      <c r="AG185" s="99">
        <f ca="1">MIN(MAX(Y185+IF(AU185&gt;0,B185*AZ185/AU185,0)+BE185-AD185,0),TEW)</f>
        <v>4.94289145865292</v>
      </c>
      <c r="AH185" s="99">
        <f ca="1">MIN(MAX(Z185+IF(AV185&gt;0,B185*BA185/AV185,0)+BF185-AE185,0),TEW)</f>
        <v>2.42450843131624</v>
      </c>
      <c r="AI185" s="99">
        <f ca="1" t="shared" si="23"/>
        <v>10.0950901800674</v>
      </c>
      <c r="AJ185" s="99">
        <f ca="1" t="shared" si="24"/>
        <v>9.43921855950789e-8</v>
      </c>
      <c r="AK185" s="70">
        <f ca="1">IF((AU185+AV185)&gt;0,(TEW-(AG185*AU185+AH185*AV185)/(AU185+AV185))/TEW,(TEW-(AG185+AH185)/2)/TEW)</f>
        <v>0.850780635210478</v>
      </c>
      <c r="AL185" s="70">
        <f ca="1" t="shared" si="25"/>
        <v>0.868221765932504</v>
      </c>
      <c r="AM185" s="70">
        <f ca="1" t="shared" si="26"/>
        <v>0.999999970475068</v>
      </c>
      <c r="AN185" s="70">
        <f ca="1">Wwp+(Wfc-Wwp)*IF((AU185+AV185)&gt;0,(TEW-(AG185*AU185+AH185*AV185)/(AU185+AV185))/TEW,(TEW-(AG185+AH185)/2)/TEW)</f>
        <v>0.380601482577362</v>
      </c>
      <c r="AO185" s="70">
        <f ca="1">Wwp+(Wfc-Wwp)*(R185-AI185)/R185</f>
        <v>0.382868829571226</v>
      </c>
      <c r="AP185" s="70">
        <f ca="1">Wwp+(Wfc-Wwp)*(S185-AJ185)/S185</f>
        <v>0.399999996161759</v>
      </c>
      <c r="AQ185" s="70"/>
      <c r="AR185" s="70"/>
      <c r="AS185" s="70"/>
      <c r="AT185" s="70"/>
      <c r="AU185" s="70">
        <f ca="1">MIN((1-G185),fw)</f>
        <v>0.0133333333333334</v>
      </c>
      <c r="AV185" s="70">
        <f ca="1" t="shared" si="27"/>
        <v>0</v>
      </c>
      <c r="AW185" s="70">
        <f ca="1">MIN((TEW-Y185)/(TEW-REW),1)</f>
        <v>0.115657224939605</v>
      </c>
      <c r="AX185" s="70">
        <f ca="1">MIN((TEW-Z185)/(TEW-REW),1)</f>
        <v>0.122439985506634</v>
      </c>
      <c r="AY185" s="70">
        <f ca="1">IF((AU185*(TEW-Y185))&gt;0,1/(1+((AV185*(TEW-Z185))/(AU185*(TEW-Y185)))),0)</f>
        <v>1</v>
      </c>
      <c r="AZ185" s="70">
        <f ca="1">MIN((AY185*AW185*(Kcmax-H185)),AU185*Kcmax)</f>
        <v>0.00436445045837651</v>
      </c>
      <c r="BA185" s="70">
        <f ca="1">MIN(((1-AY185)*AX185*(Kcmax-H185)),AV185*Kcmax)</f>
        <v>0</v>
      </c>
      <c r="BB185" s="70">
        <f ca="1" t="shared" si="28"/>
        <v>0.0109023972450245</v>
      </c>
      <c r="BC185" s="70">
        <f ca="1">MIN((R185-AA185)/(R185*(1-(p+0.04*(5-I184)))),1)</f>
        <v>1</v>
      </c>
      <c r="BD185" s="10">
        <f ca="1" t="shared" si="29"/>
        <v>2.77843526858596</v>
      </c>
      <c r="BE185" s="70">
        <f ca="1">MIN(IF((1-AA185/R185)&gt;0,(1-Y185/TEW)/(1-AA185/R185)*(Ze/P185)^0.6,0),1)*BC185*H185*B185</f>
        <v>1.1007754639281</v>
      </c>
      <c r="BF185" s="70">
        <f ca="1">MIN(IF((1-AA185/R185)&gt;0,(1-Z185/TEW)/(1-AA185/R185)*(Ze/P185)^0.6,0),1)*BC185*H185*B185</f>
        <v>1.16533084655797</v>
      </c>
      <c r="BH185" s="10">
        <f ca="1" t="shared" si="30"/>
        <v>0.0520401331641298</v>
      </c>
      <c r="BI185" s="10">
        <f ca="1">IF(F185&lt;&gt;"",(Moy_Etobs-F185)^2,"")</f>
        <v>0.906955337147125</v>
      </c>
    </row>
    <row r="186" spans="1:61">
      <c r="A186" s="38">
        <v>39179</v>
      </c>
      <c r="B186" s="10">
        <v>2.982</v>
      </c>
      <c r="C186" s="39">
        <v>0</v>
      </c>
      <c r="D186">
        <v>0.894</v>
      </c>
      <c r="E186" s="39">
        <v>0</v>
      </c>
      <c r="F186" s="10">
        <v>2.9538576</v>
      </c>
      <c r="G186" s="10">
        <f ca="1">MIN(MAX(IF(AND(Durpla&gt;ROW()-MATCH(NDVImax,INDEX(D:D,Lig_min,1):INDEX(D:D,Lig_max,1),0)-Lig_min+1,ROW()-MATCH(NDVImax,INDEX(D:D,Lig_min,1):INDEX(D:D,Lig_max,1),0)-Lig_min+1&gt;0,D186*a_fc+b_fc&gt;fc_fin),NDVImax*a_fc+b_fc,D186*a_fc+b_fc),0),1)</f>
        <v>0.992</v>
      </c>
      <c r="H186" s="55">
        <f>MIN(MAX(D186*a_kcb+b_kcb,0),Kcmax)</f>
        <v>1.11827615596691</v>
      </c>
      <c r="I186" s="70">
        <f ca="1" t="shared" si="22"/>
        <v>3.34494339086669</v>
      </c>
      <c r="O186" s="55"/>
      <c r="P186" s="35">
        <f ca="1">IF(ROW()-MATCH(NDVImax,INDEX(D:D,Lig_min,1):INDEX(D:D,Lig_max,1),0)-Lig_min+1&gt;0,MAX(MIN(Zr_min+MAX(INDEX(G:G,Lig_min,1):INDEX(G:G,Lig_max,1))/MAX(MAX(INDEX(G:G,Lig_min,1):INDEX(G:G,Lig_max,1)),Max_fc_pour_Zrmax)*(Zr_max-Zr_min),Zr_max),Ze+0.001),MAX(MIN(Zr_min+G186/MAX(MAX(INDEX(G:G,Lig_min,1):INDEX(G:G,Lig_max,1)),Max_fc_pour_Zrmax)*(Zr_max-Zr_min),Zr_max),Ze+0.001))</f>
        <v>591.79162113242</v>
      </c>
      <c r="Q186" s="35">
        <f ca="1">IF(Z_sol&gt;0,Z_sol-P186,0.1)</f>
        <v>22.0829299320136</v>
      </c>
      <c r="R186" s="35">
        <f ca="1">(Wfc-Wwp)*P186</f>
        <v>76.9329107472147</v>
      </c>
      <c r="S186" s="35">
        <f ca="1">(Wfc-Wwp)*Q186</f>
        <v>2.87078089116177</v>
      </c>
      <c r="T186" s="99">
        <f ca="1" t="shared" si="31"/>
        <v>4.94289145865292</v>
      </c>
      <c r="U186" s="99">
        <f ca="1" t="shared" si="32"/>
        <v>2.42450843131624</v>
      </c>
      <c r="V186" s="99">
        <f ca="1">IF(P186&gt;P185,IF(Q186&gt;1,MAX(AI185+(Wfc-Wwp)*(P186-P185)*AJ185/S185,0),AI185/P185*P186),MAX(AI185+(Wfc-Wwp)*(P186-P185)*AI185/R185,0))</f>
        <v>10.0950901897</v>
      </c>
      <c r="W186" s="99">
        <f ca="1">IF(S186&gt;1,IF(P186&gt;P185,MAX(AJ185-(Wfc-Wwp)*(P186-P185)*AJ185/S185,0),MAX(AJ185-(Wfc-Wwp)*(P186-P185)*AI185/R185,0)),0)</f>
        <v>8.47596112550143e-8</v>
      </c>
      <c r="X186" s="99">
        <f ca="1">IF(AND(OR(AND(dec_vide_TAW&lt;0,V186&gt;R186*(p+0.04*(5-I185))),AND(dec_vide_TAW&gt;0,V186&gt;R186*dec_vide_TAW)),H186&gt;MAX(INDEX(H:H,Lig_min,1):INDEX(H:H,ROW(X186),1))*Kcbmax_stop_irrig*IF(ROW(X186)-lig_kcbmax&gt;0,1,0),MIN(INDEX(H:H,ROW(X186),1):INDEX(H:H,lig_kcbmax,1))&gt;Kcbmin_start_irrig),MIN(MAX(V186-E186*Irri_man-C186,0),Lame_max),0)</f>
        <v>0</v>
      </c>
      <c r="Y186" s="99">
        <f ca="1">MIN(MAX(T186-C186-IF(fw&gt;0,X186/fw*Irri_auto+E186/fw*Irri_man,0),0),TEW)</f>
        <v>4.94289145865292</v>
      </c>
      <c r="Z186" s="99">
        <f ca="1">MIN(MAX(U186-C186,0),TEW)</f>
        <v>2.42450843131624</v>
      </c>
      <c r="AA186" s="99">
        <f ca="1">MIN(MAX(V186-C186-(X186*Irri_auto+E186*Irri_man),0),R186)</f>
        <v>10.0950901897</v>
      </c>
      <c r="AB186" s="99">
        <f ca="1">MIN(MAX(W186+MIN(V186-C186-(X186*Irri_auto+E186*Irri_man),0),0),S186)</f>
        <v>8.47596112550143e-8</v>
      </c>
      <c r="AC186" s="99">
        <f ca="1">-MIN(W186+MIN(V186-C186-(X186*Irri_auto+E186*Irri_man),0),0)</f>
        <v>0</v>
      </c>
      <c r="AD186" s="39">
        <f ca="1">IF(((R186-AA186)/P186-((Wfc-Wwp)*Ze-Y186)/Ze)/Wfc*DiffE&lt;0,MAX(((R186-AA186)/P186-((Wfc-Wwp)*Ze-Y186)/Ze)/Wfc*DiffE,(R186*Ze-((Wfc-Wwp)*Ze-Y186-AA186)*P186)/(P186+Ze)-AA186),MIN(((R186-AA186)/P186-((Wfc-Wwp)*Ze-Y186)/Ze)/Wfc*DiffE,(R186*Ze-((Wfc-Wwp)*Ze-Y186-AA186)*P186)/(P186+Ze)-AA186))</f>
        <v>5.62115250128941e-8</v>
      </c>
      <c r="AE186" s="39">
        <f ca="1">IF(((R186-AA186)/P186-((Wfc-Wwp)*Ze-Z186)/Ze)/Wfc*DiffE&lt;0,MAX(((R186-AA186)/P186-((Wfc-Wwp)*Ze-Z186)/Ze)/Wfc*DiffE,(R186*Ze-((Wfc-Wwp)*Ze-Z186-AA186)*P186)/(P186+Ze)-AA186),MIN(((R186-AA186)/P186-((Wfc-Wwp)*Ze-Z186)/Ze)/Wfc*DiffE,(R186*Ze-((Wfc-Wwp)*Ze-Z186-AA186)*P186)/(P186+Ze)-AA186))</f>
        <v>5.84386446616042e-9</v>
      </c>
      <c r="AF186" s="39">
        <f ca="1">IF(((S186-AB186)/Q186-(R186-AA186)/P186)/Wfc*DiffR&lt;0,MAX(((S186-AB186)/Q186-(R186-AA186)/P186)/Wfc*DiffR,(S186*P186-(R186-AA186-AB186)*Q186)/(P186+Q186)-AB186),MIN(((S186-AB186)/Q186-(R186-AA186)/P186)/Wfc*DiffR,(S186*P186-(R186-AA186-AB186)*Q186)/(P186+Q186)-AB186))</f>
        <v>4.26462945645614e-8</v>
      </c>
      <c r="AG186" s="99">
        <f ca="1">MIN(MAX(Y186+IF(AU186&gt;0,B186*AZ186/AU186,0)+BE186-AD186,0),TEW)</f>
        <v>7.50809936678746</v>
      </c>
      <c r="AH186" s="99">
        <f ca="1">MIN(MAX(Z186+IF(AV186&gt;0,B186*BA186/AV186,0)+BF186-AE186,0),TEW)</f>
        <v>3.82403371723808</v>
      </c>
      <c r="AI186" s="99">
        <f ca="1" t="shared" si="23"/>
        <v>13.4400335379204</v>
      </c>
      <c r="AJ186" s="99">
        <f ca="1" t="shared" si="24"/>
        <v>1.27405905819576e-7</v>
      </c>
      <c r="AK186" s="70">
        <f ca="1">IF((AU186+AV186)&gt;0,(TEW-(AG186*AU186+AH186*AV186)/(AU186+AV186))/TEW,(TEW-(AG186+AH186)/2)/TEW)</f>
        <v>0.773340396474341</v>
      </c>
      <c r="AL186" s="70">
        <f ca="1" t="shared" si="25"/>
        <v>0.825301897362476</v>
      </c>
      <c r="AM186" s="70">
        <f ca="1" t="shared" si="26"/>
        <v>0.999999955619774</v>
      </c>
      <c r="AN186" s="70">
        <f ca="1">Wwp+(Wfc-Wwp)*IF((AU186+AV186)&gt;0,(TEW-(AG186*AU186+AH186*AV186)/(AU186+AV186))/TEW,(TEW-(AG186+AH186)/2)/TEW)</f>
        <v>0.370534251541664</v>
      </c>
      <c r="AO186" s="70">
        <f ca="1">Wwp+(Wfc-Wwp)*(R186-AI186)/R186</f>
        <v>0.377289246657122</v>
      </c>
      <c r="AP186" s="70">
        <f ca="1">Wwp+(Wfc-Wwp)*(S186-AJ186)/S186</f>
        <v>0.399999994230571</v>
      </c>
      <c r="AQ186" s="70"/>
      <c r="AR186" s="70"/>
      <c r="AS186" s="70"/>
      <c r="AT186" s="70"/>
      <c r="AU186" s="70">
        <f ca="1">MIN((1-G186),fw)</f>
        <v>0.00800000000000001</v>
      </c>
      <c r="AV186" s="70">
        <f ca="1" t="shared" si="27"/>
        <v>0</v>
      </c>
      <c r="AW186" s="70">
        <f ca="1">MIN((TEW-Y186)/(TEW-REW),1)</f>
        <v>0.108285827861428</v>
      </c>
      <c r="AX186" s="70">
        <f ca="1">MIN((TEW-Z186)/(TEW-REW),1)</f>
        <v>0.117962363972529</v>
      </c>
      <c r="AY186" s="70">
        <f ca="1">IF((AU186*(TEW-Y186))&gt;0,1/(1+((AV186*(TEW-Z186))/(AU186*(TEW-Y186)))),0)</f>
        <v>1</v>
      </c>
      <c r="AZ186" s="70">
        <f ca="1">MIN((AY186*AW186*(Kcmax-H186)),AU186*Kcmax)</f>
        <v>0.00343524271406969</v>
      </c>
      <c r="BA186" s="70">
        <f ca="1">MIN(((1-AY186)*AX186*(Kcmax-H186)),AV186*Kcmax)</f>
        <v>0</v>
      </c>
      <c r="BB186" s="70">
        <f ca="1" t="shared" si="28"/>
        <v>0.0102438937733558</v>
      </c>
      <c r="BC186" s="70">
        <f ca="1">MIN((R186-AA186)/(R186*(1-(p+0.04*(5-I185)))),1)</f>
        <v>1</v>
      </c>
      <c r="BD186" s="10">
        <f ca="1" t="shared" si="29"/>
        <v>3.33469949709333</v>
      </c>
      <c r="BE186" s="70">
        <f ca="1">MIN(IF((1-AA186/R186)&gt;0,(1-Y186/TEW)/(1-AA186/R186)*(Ze/P186)^0.6,0),1)*BC186*H186*B186</f>
        <v>1.28472124267659</v>
      </c>
      <c r="BF186" s="70">
        <f ca="1">MIN(IF((1-AA186/R186)&gt;0,(1-Z186/TEW)/(1-AA186/R186)*(Ze/P186)^0.6,0),1)*BC186*H186*B186</f>
        <v>1.3995252917657</v>
      </c>
      <c r="BH186" s="10">
        <f ca="1" t="shared" si="30"/>
        <v>0.152948095817824</v>
      </c>
      <c r="BI186" s="10">
        <f ca="1">IF(F186&lt;&gt;"",(Moy_Etobs-F186)^2,"")</f>
        <v>1.80898472392281</v>
      </c>
    </row>
    <row r="187" spans="1:61">
      <c r="A187" s="38">
        <v>39180</v>
      </c>
      <c r="B187" s="10">
        <v>3.087</v>
      </c>
      <c r="C187" s="39">
        <v>0</v>
      </c>
      <c r="D187">
        <v>0.897</v>
      </c>
      <c r="E187" s="39">
        <v>0</v>
      </c>
      <c r="F187" s="10">
        <v>3.090528</v>
      </c>
      <c r="G187" s="10">
        <f ca="1">MIN(MAX(IF(AND(Durpla&gt;ROW()-MATCH(NDVImax,INDEX(D:D,Lig_min,1):INDEX(D:D,Lig_max,1),0)-Lig_min+1,ROW()-MATCH(NDVImax,INDEX(D:D,Lig_min,1):INDEX(D:D,Lig_max,1),0)-Lig_min+1&gt;0,D187*a_fc+b_fc&gt;fc_fin),NDVImax*a_fc+b_fc,D187*a_fc+b_fc),0),1)</f>
        <v>0.996</v>
      </c>
      <c r="H187" s="55">
        <f>MIN(MAX(D187*a_kcb+b_kcb,0),Kcmax)</f>
        <v>1.12278533401517</v>
      </c>
      <c r="I187" s="70">
        <f ca="1" t="shared" si="22"/>
        <v>3.47430754254695</v>
      </c>
      <c r="O187" s="55"/>
      <c r="P187" s="35">
        <f ca="1">IF(ROW()-MATCH(NDVImax,INDEX(D:D,Lig_min,1):INDEX(D:D,Lig_max,1),0)-Lig_min+1&gt;0,MAX(MIN(Zr_min+MAX(INDEX(G:G,Lig_min,1):INDEX(G:G,Lig_max,1))/MAX(MAX(INDEX(G:G,Lig_min,1):INDEX(G:G,Lig_max,1)),Max_fc_pour_Zrmax)*(Zr_max-Zr_min),Zr_max),Ze+0.001),MAX(MIN(Zr_min+G187/MAX(MAX(INDEX(G:G,Lig_min,1):INDEX(G:G,Lig_max,1)),Max_fc_pour_Zrmax)*(Zr_max-Zr_min),Zr_max),Ze+0.001))</f>
        <v>593.67384541118</v>
      </c>
      <c r="Q187" s="35">
        <f ca="1">IF(Z_sol&gt;0,Z_sol-P187,0.1)</f>
        <v>20.2007056532537</v>
      </c>
      <c r="R187" s="35">
        <f ca="1">(Wfc-Wwp)*P187</f>
        <v>77.1775999034534</v>
      </c>
      <c r="S187" s="35">
        <f ca="1">(Wfc-Wwp)*Q187</f>
        <v>2.62609173492299</v>
      </c>
      <c r="T187" s="99">
        <f ca="1" t="shared" si="31"/>
        <v>7.50809936678746</v>
      </c>
      <c r="U187" s="99">
        <f ca="1" t="shared" si="32"/>
        <v>3.82403371723808</v>
      </c>
      <c r="V187" s="99">
        <f ca="1">IF(P187&gt;P186,IF(Q187&gt;1,MAX(AI186+(Wfc-Wwp)*(P187-P186)*AJ186/S186,0),AI186/P186*P187),MAX(AI186+(Wfc-Wwp)*(P187-P186)*AI186/R186,0))</f>
        <v>13.4400335487797</v>
      </c>
      <c r="W187" s="99">
        <f ca="1">IF(S187&gt;1,IF(P187&gt;P186,MAX(AJ186-(Wfc-Wwp)*(P187-P186)*AJ186/S186,0),MAX(AJ186-(Wfc-Wwp)*(P187-P186)*AI186/R186,0)),0)</f>
        <v>1.16546545674464e-7</v>
      </c>
      <c r="X187" s="99">
        <f ca="1">IF(AND(OR(AND(dec_vide_TAW&lt;0,V187&gt;R187*(p+0.04*(5-I186))),AND(dec_vide_TAW&gt;0,V187&gt;R187*dec_vide_TAW)),H187&gt;MAX(INDEX(H:H,Lig_min,1):INDEX(H:H,ROW(X187),1))*Kcbmax_stop_irrig*IF(ROW(X187)-lig_kcbmax&gt;0,1,0),MIN(INDEX(H:H,ROW(X187),1):INDEX(H:H,lig_kcbmax,1))&gt;Kcbmin_start_irrig),MIN(MAX(V187-E187*Irri_man-C187,0),Lame_max),0)</f>
        <v>0</v>
      </c>
      <c r="Y187" s="99">
        <f ca="1">MIN(MAX(T187-C187-IF(fw&gt;0,X187/fw*Irri_auto+E187/fw*Irri_man,0),0),TEW)</f>
        <v>7.50809936678746</v>
      </c>
      <c r="Z187" s="99">
        <f ca="1">MIN(MAX(U187-C187,0),TEW)</f>
        <v>3.82403371723808</v>
      </c>
      <c r="AA187" s="99">
        <f ca="1">MIN(MAX(V187-C187-(X187*Irri_auto+E187*Irri_man),0),R187)</f>
        <v>13.4400335487797</v>
      </c>
      <c r="AB187" s="99">
        <f ca="1">MIN(MAX(W187+MIN(V187-C187-(X187*Irri_auto+E187*Irri_man),0),0),S187)</f>
        <v>1.16546545674464e-7</v>
      </c>
      <c r="AC187" s="99">
        <f ca="1">-MIN(W187+MIN(V187-C187-(X187*Irri_auto+E187*Irri_man),0),0)</f>
        <v>0</v>
      </c>
      <c r="AD187" s="39">
        <f ca="1">IF(((R187-AA187)/P187-((Wfc-Wwp)*Ze-Y187)/Ze)/Wfc*DiffE&lt;0,MAX(((R187-AA187)/P187-((Wfc-Wwp)*Ze-Y187)/Ze)/Wfc*DiffE,(R187*Ze-((Wfc-Wwp)*Ze-Y187-AA187)*P187)/(P187+Ze)-AA187),MIN(((R187-AA187)/P187-((Wfc-Wwp)*Ze-Y187)/Ze)/Wfc*DiffE,(R187*Ze-((Wfc-Wwp)*Ze-Y187-AA187)*P187)/(P187+Ze)-AA187))</f>
        <v>9.3565113258068e-8</v>
      </c>
      <c r="AE187" s="39">
        <f ca="1">IF(((R187-AA187)/P187-((Wfc-Wwp)*Ze-Z187)/Ze)/Wfc*DiffE&lt;0,MAX(((R187-AA187)/P187-((Wfc-Wwp)*Ze-Z187)/Ze)/Wfc*DiffE,(R187*Ze-((Wfc-Wwp)*Ze-Z187-AA187)*P187)/(P187+Ze)-AA187),MIN(((R187-AA187)/P187-((Wfc-Wwp)*Ze-Z187)/Ze)/Wfc*DiffE,(R187*Ze-((Wfc-Wwp)*Ze-Z187-AA187)*P187)/(P187+Ze)-AA187))</f>
        <v>1.98838002670804e-8</v>
      </c>
      <c r="AF187" s="39">
        <f ca="1">IF(((S187-AB187)/Q187-(R187-AA187)/P187)/Wfc*DiffR&lt;0,MAX(((S187-AB187)/Q187-(R187-AA187)/P187)/Wfc*DiffR,(S187*P187-(R187-AA187-AB187)*Q187)/(P187+Q187)-AB187),MIN(((S187-AB187)/Q187-(R187-AA187)/P187)/Wfc*DiffR,(S187*P187-(R187-AA187-AB187)*Q187)/(P187+Q187)-AB187))</f>
        <v>5.65968596541077e-8</v>
      </c>
      <c r="AG187" s="99">
        <f ca="1">MIN(MAX(Y187+IF(AU187&gt;0,B187*AZ187/AU187,0)+BE187-AD187,0),TEW)</f>
        <v>10.8498366725507</v>
      </c>
      <c r="AH187" s="99">
        <f ca="1">MIN(MAX(Z187+IF(AV187&gt;0,B187*BA187/AV187,0)+BF187-AE187,0),TEW)</f>
        <v>5.28174817106383</v>
      </c>
      <c r="AI187" s="99">
        <f ca="1" t="shared" si="23"/>
        <v>16.9143410347298</v>
      </c>
      <c r="AJ187" s="99">
        <f ca="1" t="shared" si="24"/>
        <v>1.73143405328572e-7</v>
      </c>
      <c r="AK187" s="70">
        <f ca="1">IF((AU187+AV187)&gt;0,(TEW-(AG187*AU187+AH187*AV187)/(AU187+AV187))/TEW,(TEW-(AG187+AH187)/2)/TEW)</f>
        <v>0.672457760828659</v>
      </c>
      <c r="AL187" s="70">
        <f ca="1" t="shared" si="25"/>
        <v>0.780838727093236</v>
      </c>
      <c r="AM187" s="70">
        <f ca="1" t="shared" si="26"/>
        <v>0.999999934068029</v>
      </c>
      <c r="AN187" s="70">
        <f ca="1">Wwp+(Wfc-Wwp)*IF((AU187+AV187)&gt;0,(TEW-(AG187*AU187+AH187*AV187)/(AU187+AV187))/TEW,(TEW-(AG187+AH187)/2)/TEW)</f>
        <v>0.357419508907726</v>
      </c>
      <c r="AO187" s="70">
        <f ca="1">Wwp+(Wfc-Wwp)*(R187-AI187)/R187</f>
        <v>0.371509034522121</v>
      </c>
      <c r="AP187" s="70">
        <f ca="1">Wwp+(Wfc-Wwp)*(S187-AJ187)/S187</f>
        <v>0.399999991428844</v>
      </c>
      <c r="AQ187" s="70"/>
      <c r="AR187" s="70"/>
      <c r="AS187" s="70"/>
      <c r="AT187" s="70"/>
      <c r="AU187" s="70">
        <f ca="1">MIN((1-G187),fw)</f>
        <v>0.004</v>
      </c>
      <c r="AV187" s="70">
        <f ca="1" t="shared" si="27"/>
        <v>0</v>
      </c>
      <c r="AW187" s="70">
        <f ca="1">MIN((TEW-Y187)/(TEW-REW),1)</f>
        <v>0.0984293736659766</v>
      </c>
      <c r="AX187" s="70">
        <f ca="1">MIN((TEW-Z187)/(TEW-REW),1)</f>
        <v>0.112584882937826</v>
      </c>
      <c r="AY187" s="70">
        <f ca="1">IF((AU187*(TEW-Y187))&gt;0,1/(1+((AV187*(TEW-Z187))/(AU187*(TEW-Y187)))),0)</f>
        <v>1</v>
      </c>
      <c r="AZ187" s="70">
        <f ca="1">MIN((AY187*AW187*(Kcmax-H187)),AU187*Kcmax)</f>
        <v>0.00267872252741595</v>
      </c>
      <c r="BA187" s="70">
        <f ca="1">MIN(((1-AY187)*AX187*(Kcmax-H187)),AV187*Kcmax)</f>
        <v>0</v>
      </c>
      <c r="BB187" s="70">
        <f ca="1" t="shared" si="28"/>
        <v>0.00826921644213303</v>
      </c>
      <c r="BC187" s="70">
        <f ca="1">MIN((R187-AA187)/(R187*(1-(p+0.04*(5-I186)))),1)</f>
        <v>1</v>
      </c>
      <c r="BD187" s="10">
        <f ca="1" t="shared" si="29"/>
        <v>3.46603832610482</v>
      </c>
      <c r="BE187" s="70">
        <f ca="1">MIN(IF((1-AA187/R187)&gt;0,(1-Y187/TEW)/(1-AA187/R187)*(Ze/P187)^0.6,0),1)*BC187*H187*B187</f>
        <v>1.27443328879505</v>
      </c>
      <c r="BF187" s="70">
        <f ca="1">MIN(IF((1-AA187/R187)&gt;0,(1-Z187/TEW)/(1-AA187/R187)*(Ze/P187)^0.6,0),1)*BC187*H187*B187</f>
        <v>1.45771447370955</v>
      </c>
      <c r="BH187" s="10">
        <f ca="1" t="shared" si="30"/>
        <v>0.147286737277547</v>
      </c>
      <c r="BI187" s="10">
        <f ca="1">IF(F187&lt;&gt;"",(Moy_Etobs-F187)^2,"")</f>
        <v>2.19530280553576</v>
      </c>
    </row>
    <row r="188" spans="1:61">
      <c r="A188" s="38">
        <v>39181</v>
      </c>
      <c r="B188" s="10">
        <v>2.985</v>
      </c>
      <c r="C188" s="39">
        <v>0</v>
      </c>
      <c r="D188">
        <v>0.9</v>
      </c>
      <c r="E188" s="39">
        <v>0</v>
      </c>
      <c r="F188" s="10">
        <v>2.8084806</v>
      </c>
      <c r="G188" s="10">
        <f ca="1">MIN(MAX(IF(AND(Durpla&gt;ROW()-MATCH(NDVImax,INDEX(D:D,Lig_min,1):INDEX(D:D,Lig_max,1),0)-Lig_min+1,ROW()-MATCH(NDVImax,INDEX(D:D,Lig_min,1):INDEX(D:D,Lig_max,1),0)-Lig_min+1&gt;0,D188*a_fc+b_fc&gt;fc_fin),NDVImax*a_fc+b_fc,D188*a_fc+b_fc),0),1)</f>
        <v>1</v>
      </c>
      <c r="H188" s="55">
        <f>MIN(MAX(D188*a_kcb+b_kcb,0),Kcmax)</f>
        <v>1.12729451206342</v>
      </c>
      <c r="I188" s="70">
        <f ca="1" t="shared" si="22"/>
        <v>3.36497411850931</v>
      </c>
      <c r="O188" s="55"/>
      <c r="P188" s="35">
        <f ca="1">IF(ROW()-MATCH(NDVImax,INDEX(D:D,Lig_min,1):INDEX(D:D,Lig_max,1),0)-Lig_min+1&gt;0,MAX(MIN(Zr_min+MAX(INDEX(G:G,Lig_min,1):INDEX(G:G,Lig_max,1))/MAX(MAX(INDEX(G:G,Lig_min,1):INDEX(G:G,Lig_max,1)),Max_fc_pour_Zrmax)*(Zr_max-Zr_min),Zr_max),Ze+0.001),MAX(MIN(Zr_min+G188/MAX(MAX(INDEX(G:G,Lig_min,1):INDEX(G:G,Lig_max,1)),Max_fc_pour_Zrmax)*(Zr_max-Zr_min),Zr_max),Ze+0.001))</f>
        <v>595.55606968994</v>
      </c>
      <c r="Q188" s="35">
        <f ca="1">IF(Z_sol&gt;0,Z_sol-P188,0.1)</f>
        <v>18.318481374494</v>
      </c>
      <c r="R188" s="35">
        <f ca="1">(Wfc-Wwp)*P188</f>
        <v>77.4222890596922</v>
      </c>
      <c r="S188" s="35">
        <f ca="1">(Wfc-Wwp)*Q188</f>
        <v>2.38140257868422</v>
      </c>
      <c r="T188" s="99">
        <f ca="1" t="shared" si="31"/>
        <v>10.8498366725507</v>
      </c>
      <c r="U188" s="99">
        <f ca="1" t="shared" si="32"/>
        <v>5.28174817106383</v>
      </c>
      <c r="V188" s="99">
        <f ca="1">IF(P188&gt;P187,IF(Q188&gt;1,MAX(AI187+(Wfc-Wwp)*(P188-P187)*AJ187/S187,0),AI187/P187*P188),MAX(AI187+(Wfc-Wwp)*(P188-P187)*AI187/R187,0))</f>
        <v>16.9143410508627</v>
      </c>
      <c r="W188" s="99">
        <f ca="1">IF(S188&gt;1,IF(P188&gt;P187,MAX(AJ187-(Wfc-Wwp)*(P188-P187)*AJ187/S187,0),MAX(AJ187-(Wfc-Wwp)*(P188-P187)*AI187/R187,0)),0)</f>
        <v>1.57010566861908e-7</v>
      </c>
      <c r="X188" s="99">
        <f ca="1">IF(AND(OR(AND(dec_vide_TAW&lt;0,V188&gt;R188*(p+0.04*(5-I187))),AND(dec_vide_TAW&gt;0,V188&gt;R188*dec_vide_TAW)),H188&gt;MAX(INDEX(H:H,Lig_min,1):INDEX(H:H,ROW(X188),1))*Kcbmax_stop_irrig*IF(ROW(X188)-lig_kcbmax&gt;0,1,0),MIN(INDEX(H:H,ROW(X188),1):INDEX(H:H,lig_kcbmax,1))&gt;Kcbmin_start_irrig),MIN(MAX(V188-E188*Irri_man-C188,0),Lame_max),0)</f>
        <v>0</v>
      </c>
      <c r="Y188" s="99">
        <f ca="1">MIN(MAX(T188-C188-IF(fw&gt;0,X188/fw*Irri_auto+E188/fw*Irri_man,0),0),TEW)</f>
        <v>10.8498366725507</v>
      </c>
      <c r="Z188" s="99">
        <f ca="1">MIN(MAX(U188-C188,0),TEW)</f>
        <v>5.28174817106383</v>
      </c>
      <c r="AA188" s="99">
        <f ca="1">MIN(MAX(V188-C188-(X188*Irri_auto+E188*Irri_man),0),R188)</f>
        <v>16.9143410508627</v>
      </c>
      <c r="AB188" s="99">
        <f ca="1">MIN(MAX(W188+MIN(V188-C188-(X188*Irri_auto+E188*Irri_man),0),0),S188)</f>
        <v>1.57010566861908e-7</v>
      </c>
      <c r="AC188" s="99">
        <f ca="1">-MIN(W188+MIN(V188-C188-(X188*Irri_auto+E188*Irri_man),0),0)</f>
        <v>0</v>
      </c>
      <c r="AD188" s="39">
        <f ca="1">IF(((R188-AA188)/P188-((Wfc-Wwp)*Ze-Y188)/Ze)/Wfc*DiffE&lt;0,MAX(((R188-AA188)/P188-((Wfc-Wwp)*Ze-Y188)/Ze)/Wfc*DiffE,(R188*Ze-((Wfc-Wwp)*Ze-Y188-AA188)*P188)/(P188+Ze)-AA188),MIN(((R188-AA188)/P188-((Wfc-Wwp)*Ze-Y188)/Ze)/Wfc*DiffE,(R188*Ze-((Wfc-Wwp)*Ze-Y188-AA188)*P188)/(P188+Ze)-AA188))</f>
        <v>1.45994430260364e-7</v>
      </c>
      <c r="AE188" s="39">
        <f ca="1">IF(((R188-AA188)/P188-((Wfc-Wwp)*Ze-Z188)/Ze)/Wfc*DiffE&lt;0,MAX(((R188-AA188)/P188-((Wfc-Wwp)*Ze-Z188)/Ze)/Wfc*DiffE,(R188*Ze-((Wfc-Wwp)*Ze-Z188-AA188)*P188)/(P188+Ze)-AA188),MIN(((R188-AA188)/P188-((Wfc-Wwp)*Ze-Z188)/Ze)/Wfc*DiffE,(R188*Ze-((Wfc-Wwp)*Ze-Z188-AA188)*P188)/(P188+Ze)-AA188))</f>
        <v>3.46326602306271e-8</v>
      </c>
      <c r="AF188" s="39">
        <f ca="1">IF(((S188-AB188)/Q188-(R188-AA188)/P188)/Wfc*DiffR&lt;0,MAX(((S188-AB188)/Q188-(R188-AA188)/P188)/Wfc*DiffR,(S188*P188-(R188-AA188-AB188)*Q188)/(P188+Q188)-AB188),MIN(((S188-AB188)/Q188-(R188-AA188)/P188)/Wfc*DiffR,(S188*P188-(R188-AA188-AB188)*Q188)/(P188+Q188)-AB188))</f>
        <v>7.10022817627588e-8</v>
      </c>
      <c r="AG188" s="99">
        <f ca="1">MIN(MAX(Y188+IF(AU188&gt;0,B188*AZ188/AU188,0)+BE188-AD188,0),TEW)</f>
        <v>11.9845670454301</v>
      </c>
      <c r="AH188" s="99">
        <f ca="1">MIN(MAX(Z188+IF(AV188&gt;0,B188*BA188/AV188,0)+BF188-AE188,0),TEW)</f>
        <v>6.70012550725163</v>
      </c>
      <c r="AI188" s="99">
        <f ca="1" t="shared" si="23"/>
        <v>20.2793150983697</v>
      </c>
      <c r="AJ188" s="99">
        <f ca="1" t="shared" si="24"/>
        <v>2.28012848624666e-7</v>
      </c>
      <c r="AK188" s="70">
        <f ca="1">IF((AU188+AV188)&gt;0,(TEW-(AG188*AU188+AH188*AV188)/(AU188+AV188))/TEW,(TEW-(AG188+AH188)/2)/TEW)</f>
        <v>0.717966904865182</v>
      </c>
      <c r="AL188" s="70">
        <f ca="1" t="shared" si="25"/>
        <v>0.738068773932343</v>
      </c>
      <c r="AM188" s="70">
        <f ca="1" t="shared" si="26"/>
        <v>0.999999904252708</v>
      </c>
      <c r="AN188" s="70">
        <f ca="1">Wwp+(Wfc-Wwp)*IF((AU188+AV188)&gt;0,(TEW-(AG188*AU188+AH188*AV188)/(AU188+AV188))/TEW,(TEW-(AG188+AH188)/2)/TEW)</f>
        <v>0.363335697632474</v>
      </c>
      <c r="AO188" s="70">
        <f ca="1">Wwp+(Wfc-Wwp)*(R188-AI188)/R188</f>
        <v>0.365948940611205</v>
      </c>
      <c r="AP188" s="70">
        <f ca="1">Wwp+(Wfc-Wwp)*(S188-AJ188)/S188</f>
        <v>0.399999987552852</v>
      </c>
      <c r="AQ188" s="70"/>
      <c r="AR188" s="70"/>
      <c r="AS188" s="70"/>
      <c r="AT188" s="70"/>
      <c r="AU188" s="70">
        <f ca="1">MIN((1-G188),fw)</f>
        <v>0</v>
      </c>
      <c r="AV188" s="70">
        <f ca="1" t="shared" si="27"/>
        <v>0</v>
      </c>
      <c r="AW188" s="70">
        <f ca="1">MIN((TEW-Y188)/(TEW-REW),1)</f>
        <v>0.0855892133877247</v>
      </c>
      <c r="AX188" s="70">
        <f ca="1">MIN((TEW-Z188)/(TEW-REW),1)</f>
        <v>0.106983818127984</v>
      </c>
      <c r="AY188" s="70">
        <f ca="1">IF((AU188*(TEW-Y188))&gt;0,1/(1+((AV188*(TEW-Z188))/(AU188*(TEW-Y188)))),0)</f>
        <v>0</v>
      </c>
      <c r="AZ188" s="70">
        <f ca="1">MIN((AY188*AW188*(Kcmax-H188)),AU188*Kcmax)</f>
        <v>0</v>
      </c>
      <c r="BA188" s="70">
        <f ca="1">MIN(((1-AY188)*AX188*(Kcmax-H188)),AV188*Kcmax)</f>
        <v>0</v>
      </c>
      <c r="BB188" s="70">
        <f ca="1" t="shared" si="28"/>
        <v>0</v>
      </c>
      <c r="BC188" s="70">
        <f ca="1">MIN((R188-AA188)/(R188*(1-(p+0.04*(5-I187)))),1)</f>
        <v>1</v>
      </c>
      <c r="BD188" s="10">
        <f ca="1" t="shared" si="29"/>
        <v>3.36497411850931</v>
      </c>
      <c r="BE188" s="70">
        <f ca="1">MIN(IF((1-AA188/R188)&gt;0,(1-Y188/TEW)/(1-AA188/R188)*(Ze/P188)^0.6,0),1)*BC188*H188*B188</f>
        <v>1.13473051887385</v>
      </c>
      <c r="BF188" s="70">
        <f ca="1">MIN(IF((1-AA188/R188)&gt;0,(1-Z188/TEW)/(1-AA188/R188)*(Ze/P188)^0.6,0),1)*BC188*H188*B188</f>
        <v>1.41837737082046</v>
      </c>
      <c r="BH188" s="10">
        <f ca="1" t="shared" si="30"/>
        <v>0.309685036142871</v>
      </c>
      <c r="BI188" s="10">
        <f ca="1">IF(F188&lt;&gt;"",(Moy_Etobs-F188)^2,"")</f>
        <v>1.43905941939595</v>
      </c>
    </row>
    <row r="189" spans="1:61">
      <c r="A189" s="38">
        <v>39182</v>
      </c>
      <c r="B189" s="10">
        <v>3.022</v>
      </c>
      <c r="C189" s="39">
        <v>0</v>
      </c>
      <c r="D189">
        <v>0.903</v>
      </c>
      <c r="E189" s="39">
        <v>0</v>
      </c>
      <c r="F189" s="10">
        <v>3.040281</v>
      </c>
      <c r="G189" s="10">
        <f ca="1">MIN(MAX(IF(AND(Durpla&gt;ROW()-MATCH(NDVImax,INDEX(D:D,Lig_min,1):INDEX(D:D,Lig_max,1),0)-Lig_min+1,ROW()-MATCH(NDVImax,INDEX(D:D,Lig_min,1):INDEX(D:D,Lig_max,1),0)-Lig_min+1&gt;0,D189*a_fc+b_fc&gt;fc_fin),NDVImax*a_fc+b_fc,D189*a_fc+b_fc),0),1)</f>
        <v>1</v>
      </c>
      <c r="H189" s="55">
        <f>MIN(MAX(D189*a_kcb+b_kcb,0),Kcmax)</f>
        <v>1.13180369011167</v>
      </c>
      <c r="I189" s="70">
        <f ca="1" t="shared" si="22"/>
        <v>3.42031075151748</v>
      </c>
      <c r="O189" s="55"/>
      <c r="P189" s="35">
        <f ca="1">IF(ROW()-MATCH(NDVImax,INDEX(D:D,Lig_min,1):INDEX(D:D,Lig_max,1),0)-Lig_min+1&gt;0,MAX(MIN(Zr_min+MAX(INDEX(G:G,Lig_min,1):INDEX(G:G,Lig_max,1))/MAX(MAX(INDEX(G:G,Lig_min,1):INDEX(G:G,Lig_max,1)),Max_fc_pour_Zrmax)*(Zr_max-Zr_min),Zr_max),Ze+0.001),MAX(MIN(Zr_min+G189/MAX(MAX(INDEX(G:G,Lig_min,1):INDEX(G:G,Lig_max,1)),Max_fc_pour_Zrmax)*(Zr_max-Zr_min),Zr_max),Ze+0.001))</f>
        <v>595.55606968994</v>
      </c>
      <c r="Q189" s="35">
        <f ca="1">IF(Z_sol&gt;0,Z_sol-P189,0.1)</f>
        <v>18.318481374494</v>
      </c>
      <c r="R189" s="35">
        <f ca="1">(Wfc-Wwp)*P189</f>
        <v>77.4222890596922</v>
      </c>
      <c r="S189" s="35">
        <f ca="1">(Wfc-Wwp)*Q189</f>
        <v>2.38140257868422</v>
      </c>
      <c r="T189" s="99">
        <f ca="1" t="shared" si="31"/>
        <v>11.9845670454301</v>
      </c>
      <c r="U189" s="99">
        <f ca="1" t="shared" si="32"/>
        <v>6.70012550725163</v>
      </c>
      <c r="V189" s="99">
        <f ca="1">IF(P189&gt;P188,IF(Q189&gt;1,MAX(AI188+(Wfc-Wwp)*(P189-P188)*AJ188/S188,0),AI188/P188*P189),MAX(AI188+(Wfc-Wwp)*(P189-P188)*AI188/R188,0))</f>
        <v>20.2793150983697</v>
      </c>
      <c r="W189" s="99">
        <f ca="1">IF(S189&gt;1,IF(P189&gt;P188,MAX(AJ188-(Wfc-Wwp)*(P189-P188)*AJ188/S188,0),MAX(AJ188-(Wfc-Wwp)*(P189-P188)*AI188/R188,0)),0)</f>
        <v>2.28012848624666e-7</v>
      </c>
      <c r="X189" s="99">
        <f ca="1">IF(AND(OR(AND(dec_vide_TAW&lt;0,V189&gt;R189*(p+0.04*(5-I188))),AND(dec_vide_TAW&gt;0,V189&gt;R189*dec_vide_TAW)),H189&gt;MAX(INDEX(H:H,Lig_min,1):INDEX(H:H,ROW(X189),1))*Kcbmax_stop_irrig*IF(ROW(X189)-lig_kcbmax&gt;0,1,0),MIN(INDEX(H:H,ROW(X189),1):INDEX(H:H,lig_kcbmax,1))&gt;Kcbmin_start_irrig),MIN(MAX(V189-E189*Irri_man-C189,0),Lame_max),0)</f>
        <v>0</v>
      </c>
      <c r="Y189" s="99">
        <f ca="1">MIN(MAX(T189-C189-IF(fw&gt;0,X189/fw*Irri_auto+E189/fw*Irri_man,0),0),TEW)</f>
        <v>11.9845670454301</v>
      </c>
      <c r="Z189" s="99">
        <f ca="1">MIN(MAX(U189-C189,0),TEW)</f>
        <v>6.70012550725163</v>
      </c>
      <c r="AA189" s="99">
        <f ca="1">MIN(MAX(V189-C189-(X189*Irri_auto+E189*Irri_man),0),R189)</f>
        <v>20.2793150983697</v>
      </c>
      <c r="AB189" s="99">
        <f ca="1">MIN(MAX(W189+MIN(V189-C189-(X189*Irri_auto+E189*Irri_man),0),0),S189)</f>
        <v>2.28012848624666e-7</v>
      </c>
      <c r="AC189" s="99">
        <f ca="1">-MIN(W189+MIN(V189-C189-(X189*Irri_auto+E189*Irri_man),0),0)</f>
        <v>0</v>
      </c>
      <c r="AD189" s="39">
        <f ca="1">IF(((R189-AA189)/P189-((Wfc-Wwp)*Ze-Y189)/Ze)/Wfc*DiffE&lt;0,MAX(((R189-AA189)/P189-((Wfc-Wwp)*Ze-Y189)/Ze)/Wfc*DiffE,(R189*Ze-((Wfc-Wwp)*Ze-Y189-AA189)*P189)/(P189+Ze)-AA189),MIN(((R189-AA189)/P189-((Wfc-Wwp)*Ze-Y189)/Ze)/Wfc*DiffE,(R189*Ze-((Wfc-Wwp)*Ze-Y189-AA189)*P189)/(P189+Ze)-AA189))</f>
        <v>1.54563692436613e-7</v>
      </c>
      <c r="AE189" s="39">
        <f ca="1">IF(((R189-AA189)/P189-((Wfc-Wwp)*Ze-Z189)/Ze)/Wfc*DiffE&lt;0,MAX(((R189-AA189)/P189-((Wfc-Wwp)*Ze-Z189)/Ze)/Wfc*DiffE,(R189*Ze-((Wfc-Wwp)*Ze-Z189-AA189)*P189)/(P189+Ze)-AA189),MIN(((R189-AA189)/P189-((Wfc-Wwp)*Ze-Z189)/Ze)/Wfc*DiffE,(R189*Ze-((Wfc-Wwp)*Ze-Z189-AA189)*P189)/(P189+Ze)-AA189))</f>
        <v>4.88748616730442e-8</v>
      </c>
      <c r="AF189" s="39">
        <f ca="1">IF(((S189-AB189)/Q189-(R189-AA189)/P189)/Wfc*DiffR&lt;0,MAX(((S189-AB189)/Q189-(R189-AA189)/P189)/Wfc*DiffR,(S189*P189-(R189-AA189-AB189)*Q189)/(P189+Q189)-AB189),MIN(((S189-AB189)/Q189-(R189-AA189)/P189)/Wfc*DiffR,(S189*P189-(R189-AA189-AB189)*Q189)/(P189+Q189)-AB189))</f>
        <v>8.51276173541185e-8</v>
      </c>
      <c r="AG189" s="99">
        <f ca="1">MIN(MAX(Y189+IF(AU189&gt;0,B189*AZ189/AU189,0)+BE189-AD189,0),TEW)</f>
        <v>13.1436621754394</v>
      </c>
      <c r="AH189" s="99">
        <f ca="1">MIN(MAX(Z189+IF(AV189&gt;0,B189*BA189/AV189,0)+BF189-AE189,0),TEW)</f>
        <v>8.14895800999948</v>
      </c>
      <c r="AI189" s="99">
        <f ca="1" t="shared" si="23"/>
        <v>23.6996257647596</v>
      </c>
      <c r="AJ189" s="99">
        <f ca="1" t="shared" si="24"/>
        <v>3.13140465978785e-7</v>
      </c>
      <c r="AK189" s="70">
        <f ca="1">IF((AU189+AV189)&gt;0,(TEW-(AG189*AU189+AH189*AV189)/(AU189+AV189))/TEW,(TEW-(AG189+AH189)/2)/TEW)</f>
        <v>0.678601959465073</v>
      </c>
      <c r="AL189" s="70">
        <f ca="1" t="shared" si="25"/>
        <v>0.693891435494922</v>
      </c>
      <c r="AM189" s="70">
        <f ca="1" t="shared" si="26"/>
        <v>0.999999868505868</v>
      </c>
      <c r="AN189" s="70">
        <f ca="1">Wwp+(Wfc-Wwp)*IF((AU189+AV189)&gt;0,(TEW-(AG189*AU189+AH189*AV189)/(AU189+AV189))/TEW,(TEW-(AG189+AH189)/2)/TEW)</f>
        <v>0.35821825473046</v>
      </c>
      <c r="AO189" s="70">
        <f ca="1">Wwp+(Wfc-Wwp)*(R189-AI189)/R189</f>
        <v>0.36020588661434</v>
      </c>
      <c r="AP189" s="70">
        <f ca="1">Wwp+(Wfc-Wwp)*(S189-AJ189)/S189</f>
        <v>0.399999982905763</v>
      </c>
      <c r="AQ189" s="70"/>
      <c r="AR189" s="70"/>
      <c r="AS189" s="70"/>
      <c r="AT189" s="70"/>
      <c r="AU189" s="70">
        <f ca="1">MIN((1-G189),fw)</f>
        <v>0</v>
      </c>
      <c r="AV189" s="70">
        <f ca="1" t="shared" si="27"/>
        <v>0</v>
      </c>
      <c r="AW189" s="70">
        <f ca="1">MIN((TEW-Y189)/(TEW-REW),1)</f>
        <v>0.0812291699351037</v>
      </c>
      <c r="AX189" s="70">
        <f ca="1">MIN((TEW-Z189)/(TEW-REW),1)</f>
        <v>0.101533900715181</v>
      </c>
      <c r="AY189" s="70">
        <f ca="1">IF((AU189*(TEW-Y189))&gt;0,1/(1+((AV189*(TEW-Z189))/(AU189*(TEW-Y189)))),0)</f>
        <v>0</v>
      </c>
      <c r="AZ189" s="70">
        <f ca="1">MIN((AY189*AW189*(Kcmax-H189)),AU189*Kcmax)</f>
        <v>0</v>
      </c>
      <c r="BA189" s="70">
        <f ca="1">MIN(((1-AY189)*AX189*(Kcmax-H189)),AV189*Kcmax)</f>
        <v>0</v>
      </c>
      <c r="BB189" s="70">
        <f ca="1" t="shared" si="28"/>
        <v>0</v>
      </c>
      <c r="BC189" s="70">
        <f ca="1">MIN((R189-AA189)/(R189*(1-(p+0.04*(5-I188)))),1)</f>
        <v>1</v>
      </c>
      <c r="BD189" s="10">
        <f ca="1" t="shared" si="29"/>
        <v>3.42031075151748</v>
      </c>
      <c r="BE189" s="70">
        <f ca="1">MIN(IF((1-AA189/R189)&gt;0,(1-Y189/TEW)/(1-AA189/R189)*(Ze/P189)^0.6,0),1)*BC189*H189*B189</f>
        <v>1.15909528457302</v>
      </c>
      <c r="BF189" s="70">
        <f ca="1">MIN(IF((1-AA189/R189)&gt;0,(1-Z189/TEW)/(1-AA189/R189)*(Ze/P189)^0.6,0),1)*BC189*H189*B189</f>
        <v>1.44883255162271</v>
      </c>
      <c r="BH189" s="10">
        <f ca="1" t="shared" si="30"/>
        <v>0.144422612038436</v>
      </c>
      <c r="BI189" s="10">
        <f ca="1">IF(F189&lt;&gt;"",(Moy_Etobs-F189)^2,"")</f>
        <v>2.0489300860239</v>
      </c>
    </row>
    <row r="190" spans="1:61">
      <c r="A190" s="38">
        <v>39183</v>
      </c>
      <c r="B190" s="10">
        <v>2.839</v>
      </c>
      <c r="C190" s="39">
        <v>0</v>
      </c>
      <c r="D190">
        <v>0.906</v>
      </c>
      <c r="E190" s="39">
        <v>0</v>
      </c>
      <c r="F190" s="10">
        <v>2.6299584</v>
      </c>
      <c r="G190" s="10">
        <f ca="1">MIN(MAX(IF(AND(Durpla&gt;ROW()-MATCH(NDVImax,INDEX(D:D,Lig_min,1):INDEX(D:D,Lig_max,1),0)-Lig_min+1,ROW()-MATCH(NDVImax,INDEX(D:D,Lig_min,1):INDEX(D:D,Lig_max,1),0)-Lig_min+1&gt;0,D190*a_fc+b_fc&gt;fc_fin),NDVImax*a_fc+b_fc,D190*a_fc+b_fc),0),1)</f>
        <v>1</v>
      </c>
      <c r="H190" s="55">
        <f>MIN(MAX(D190*a_kcb+b_kcb,0),Kcmax)</f>
        <v>1.13631286815993</v>
      </c>
      <c r="I190" s="70">
        <f ca="1" t="shared" si="22"/>
        <v>3.22599223270603</v>
      </c>
      <c r="O190" s="55"/>
      <c r="P190" s="35">
        <f ca="1">IF(ROW()-MATCH(NDVImax,INDEX(D:D,Lig_min,1):INDEX(D:D,Lig_max,1),0)-Lig_min+1&gt;0,MAX(MIN(Zr_min+MAX(INDEX(G:G,Lig_min,1):INDEX(G:G,Lig_max,1))/MAX(MAX(INDEX(G:G,Lig_min,1):INDEX(G:G,Lig_max,1)),Max_fc_pour_Zrmax)*(Zr_max-Zr_min),Zr_max),Ze+0.001),MAX(MIN(Zr_min+G190/MAX(MAX(INDEX(G:G,Lig_min,1):INDEX(G:G,Lig_max,1)),Max_fc_pour_Zrmax)*(Zr_max-Zr_min),Zr_max),Ze+0.001))</f>
        <v>595.55606968994</v>
      </c>
      <c r="Q190" s="35">
        <f ca="1">IF(Z_sol&gt;0,Z_sol-P190,0.1)</f>
        <v>18.318481374494</v>
      </c>
      <c r="R190" s="35">
        <f ca="1">(Wfc-Wwp)*P190</f>
        <v>77.4222890596922</v>
      </c>
      <c r="S190" s="35">
        <f ca="1">(Wfc-Wwp)*Q190</f>
        <v>2.38140257868422</v>
      </c>
      <c r="T190" s="99">
        <f ca="1" t="shared" si="31"/>
        <v>13.1436621754394</v>
      </c>
      <c r="U190" s="99">
        <f ca="1" t="shared" si="32"/>
        <v>8.14895800999948</v>
      </c>
      <c r="V190" s="99">
        <f ca="1">IF(P190&gt;P189,IF(Q190&gt;1,MAX(AI189+(Wfc-Wwp)*(P190-P189)*AJ189/S189,0),AI189/P189*P190),MAX(AI189+(Wfc-Wwp)*(P190-P189)*AI189/R189,0))</f>
        <v>23.6996257647596</v>
      </c>
      <c r="W190" s="99">
        <f ca="1">IF(S190&gt;1,IF(P190&gt;P189,MAX(AJ189-(Wfc-Wwp)*(P190-P189)*AJ189/S189,0),MAX(AJ189-(Wfc-Wwp)*(P190-P189)*AI189/R189,0)),0)</f>
        <v>3.13140465978785e-7</v>
      </c>
      <c r="X190" s="99">
        <f ca="1">IF(AND(OR(AND(dec_vide_TAW&lt;0,V190&gt;R190*(p+0.04*(5-I189))),AND(dec_vide_TAW&gt;0,V190&gt;R190*dec_vide_TAW)),H190&gt;MAX(INDEX(H:H,Lig_min,1):INDEX(H:H,ROW(X190),1))*Kcbmax_stop_irrig*IF(ROW(X190)-lig_kcbmax&gt;0,1,0),MIN(INDEX(H:H,ROW(X190),1):INDEX(H:H,lig_kcbmax,1))&gt;Kcbmin_start_irrig),MIN(MAX(V190-E190*Irri_man-C190,0),Lame_max),0)</f>
        <v>0</v>
      </c>
      <c r="Y190" s="99">
        <f ca="1">MIN(MAX(T190-C190-IF(fw&gt;0,X190/fw*Irri_auto+E190/fw*Irri_man,0),0),TEW)</f>
        <v>13.1436621754394</v>
      </c>
      <c r="Z190" s="99">
        <f ca="1">MIN(MAX(U190-C190,0),TEW)</f>
        <v>8.14895800999948</v>
      </c>
      <c r="AA190" s="99">
        <f ca="1">MIN(MAX(V190-C190-(X190*Irri_auto+E190*Irri_man),0),R190)</f>
        <v>23.6996257647596</v>
      </c>
      <c r="AB190" s="99">
        <f ca="1">MIN(MAX(W190+MIN(V190-C190-(X190*Irri_auto+E190*Irri_man),0),0),S190)</f>
        <v>3.13140465978785e-7</v>
      </c>
      <c r="AC190" s="99">
        <f ca="1">-MIN(W190+MIN(V190-C190-(X190*Irri_auto+E190*Irri_man),0),0)</f>
        <v>0</v>
      </c>
      <c r="AD190" s="39">
        <f ca="1">IF(((R190-AA190)/P190-((Wfc-Wwp)*Ze-Y190)/Ze)/Wfc*DiffE&lt;0,MAX(((R190-AA190)/P190-((Wfc-Wwp)*Ze-Y190)/Ze)/Wfc*DiffE,(R190*Ze-((Wfc-Wwp)*Ze-Y190-AA190)*P190)/(P190+Ze)-AA190),MIN(((R190-AA190)/P190-((Wfc-Wwp)*Ze-Y190)/Ze)/Wfc*DiffE,(R190*Ze-((Wfc-Wwp)*Ze-Y190-AA190)*P190)/(P190+Ze)-AA190))</f>
        <v>1.63387960044638e-7</v>
      </c>
      <c r="AE190" s="39">
        <f ca="1">IF(((R190-AA190)/P190-((Wfc-Wwp)*Ze-Z190)/Ze)/Wfc*DiffE&lt;0,MAX(((R190-AA190)/P190-((Wfc-Wwp)*Ze-Z190)/Ze)/Wfc*DiffE,(R190*Ze-((Wfc-Wwp)*Ze-Z190-AA190)*P190)/(P190+Ze)-AA190),MIN(((R190-AA190)/P190-((Wfc-Wwp)*Ze-Z190)/Ze)/Wfc*DiffE,(R190*Ze-((Wfc-Wwp)*Ze-Z190-AA190)*P190)/(P190+Ze)-AA190))</f>
        <v>6.34938767358394e-8</v>
      </c>
      <c r="AF190" s="39">
        <f ca="1">IF(((S190-AB190)/Q190-(R190-AA190)/P190)/Wfc*DiffR&lt;0,MAX(((S190-AB190)/Q190-(R190-AA190)/P190)/Wfc*DiffR,(S190*P190-(R190-AA190-AB190)*Q190)/(P190+Q190)-AB190),MIN(((S190-AB190)/Q190-(R190-AA190)/P190)/Wfc*DiffR,(S190*P190-(R190-AA190-AB190)*Q190)/(P190+Q190)-AB190))</f>
        <v>9.94852407285573e-8</v>
      </c>
      <c r="AG190" s="99">
        <f ca="1">MIN(MAX(Y190+IF(AU190&gt;0,B190*AZ190/AU190,0)+BE190-AD190,0),TEW)</f>
        <v>14.242751060497</v>
      </c>
      <c r="AH190" s="99">
        <f ca="1">MIN(MAX(Z190+IF(AV190&gt;0,B190*BA190/AV190,0)+BF190-AE190,0),TEW)</f>
        <v>9.52278458743166</v>
      </c>
      <c r="AI190" s="99">
        <f ca="1" t="shared" si="23"/>
        <v>26.9256178979803</v>
      </c>
      <c r="AJ190" s="99">
        <f ca="1" t="shared" si="24"/>
        <v>4.12625706707342e-7</v>
      </c>
      <c r="AK190" s="70">
        <f ca="1">IF((AU190+AV190)&gt;0,(TEW-(AG190*AU190+AH190*AV190)/(AU190+AV190))/TEW,(TEW-(AG190+AH190)/2)/TEW)</f>
        <v>0.641274933616172</v>
      </c>
      <c r="AL190" s="70">
        <f ca="1" t="shared" si="25"/>
        <v>0.652223949653299</v>
      </c>
      <c r="AM190" s="70">
        <f ca="1" t="shared" si="26"/>
        <v>0.999999826729966</v>
      </c>
      <c r="AN190" s="70">
        <f ca="1">Wwp+(Wfc-Wwp)*IF((AU190+AV190)&gt;0,(TEW-(AG190*AU190+AH190*AV190)/(AU190+AV190))/TEW,(TEW-(AG190+AH190)/2)/TEW)</f>
        <v>0.353365741370102</v>
      </c>
      <c r="AO190" s="70">
        <f ca="1">Wwp+(Wfc-Wwp)*(R190-AI190)/R190</f>
        <v>0.354789113454929</v>
      </c>
      <c r="AP190" s="70">
        <f ca="1">Wwp+(Wfc-Wwp)*(S190-AJ190)/S190</f>
        <v>0.399999977474896</v>
      </c>
      <c r="AQ190" s="70"/>
      <c r="AR190" s="70"/>
      <c r="AS190" s="70"/>
      <c r="AT190" s="70"/>
      <c r="AU190" s="70">
        <f ca="1">MIN((1-G190),fw)</f>
        <v>0</v>
      </c>
      <c r="AV190" s="70">
        <f ca="1" t="shared" si="27"/>
        <v>0</v>
      </c>
      <c r="AW190" s="70">
        <f ca="1">MIN((TEW-Y190)/(TEW-REW),1)</f>
        <v>0.0767755082958739</v>
      </c>
      <c r="AX190" s="70">
        <f ca="1">MIN((TEW-Z190)/(TEW-REW),1)</f>
        <v>0.0959669635655914</v>
      </c>
      <c r="AY190" s="70">
        <f ca="1">IF((AU190*(TEW-Y190))&gt;0,1/(1+((AV190*(TEW-Z190))/(AU190*(TEW-Y190)))),0)</f>
        <v>0</v>
      </c>
      <c r="AZ190" s="70">
        <f ca="1">MIN((AY190*AW190*(Kcmax-H190)),AU190*Kcmax)</f>
        <v>0</v>
      </c>
      <c r="BA190" s="70">
        <f ca="1">MIN(((1-AY190)*AX190*(Kcmax-H190)),AV190*Kcmax)</f>
        <v>0</v>
      </c>
      <c r="BB190" s="70">
        <f ca="1" t="shared" si="28"/>
        <v>0</v>
      </c>
      <c r="BC190" s="70">
        <f ca="1">MIN((R190-AA190)/(R190*(1-(p+0.04*(5-I189)))),1)</f>
        <v>1</v>
      </c>
      <c r="BD190" s="10">
        <f ca="1" t="shared" si="29"/>
        <v>3.22599223270603</v>
      </c>
      <c r="BE190" s="70">
        <f ca="1">MIN(IF((1-AA190/R190)&gt;0,(1-Y190/TEW)/(1-AA190/R190)*(Ze/P190)^0.6,0),1)*BC190*H190*B190</f>
        <v>1.09908904844551</v>
      </c>
      <c r="BF190" s="70">
        <f ca="1">MIN(IF((1-AA190/R190)&gt;0,(1-Z190/TEW)/(1-AA190/R190)*(Ze/P190)^0.6,0),1)*BC190*H190*B190</f>
        <v>1.37382664092605</v>
      </c>
      <c r="BH190" s="10">
        <f ca="1" t="shared" si="30"/>
        <v>0.355256329730244</v>
      </c>
      <c r="BI190" s="10">
        <f ca="1">IF(F190&lt;&gt;"",(Moy_Etobs-F190)^2,"")</f>
        <v>1.04261626691155</v>
      </c>
    </row>
    <row r="191" spans="1:61">
      <c r="A191" s="38">
        <v>39184</v>
      </c>
      <c r="B191" s="10">
        <v>2.079</v>
      </c>
      <c r="C191" s="39">
        <v>6.336</v>
      </c>
      <c r="D191">
        <v>0.91</v>
      </c>
      <c r="E191" s="39">
        <v>0</v>
      </c>
      <c r="F191" s="10">
        <v>1.7051292</v>
      </c>
      <c r="G191" s="10">
        <f ca="1">MIN(MAX(IF(AND(Durpla&gt;ROW()-MATCH(NDVImax,INDEX(D:D,Lig_min,1):INDEX(D:D,Lig_max,1),0)-Lig_min+1,ROW()-MATCH(NDVImax,INDEX(D:D,Lig_min,1):INDEX(D:D,Lig_max,1),0)-Lig_min+1&gt;0,D191*a_fc+b_fc&gt;fc_fin),NDVImax*a_fc+b_fc,D191*a_fc+b_fc),0),1)</f>
        <v>1</v>
      </c>
      <c r="H191" s="55">
        <f>MIN(MAX(D191*a_kcb+b_kcb,0),Kcmax)</f>
        <v>1.1423251055576</v>
      </c>
      <c r="I191" s="70">
        <f ca="1" t="shared" si="22"/>
        <v>2.37489389445425</v>
      </c>
      <c r="O191" s="55"/>
      <c r="P191" s="35">
        <f ca="1">IF(ROW()-MATCH(NDVImax,INDEX(D:D,Lig_min,1):INDEX(D:D,Lig_max,1),0)-Lig_min+1&gt;0,MAX(MIN(Zr_min+MAX(INDEX(G:G,Lig_min,1):INDEX(G:G,Lig_max,1))/MAX(MAX(INDEX(G:G,Lig_min,1):INDEX(G:G,Lig_max,1)),Max_fc_pour_Zrmax)*(Zr_max-Zr_min),Zr_max),Ze+0.001),MAX(MIN(Zr_min+G191/MAX(MAX(INDEX(G:G,Lig_min,1):INDEX(G:G,Lig_max,1)),Max_fc_pour_Zrmax)*(Zr_max-Zr_min),Zr_max),Ze+0.001))</f>
        <v>595.55606968994</v>
      </c>
      <c r="Q191" s="35">
        <f ca="1">IF(Z_sol&gt;0,Z_sol-P191,0.1)</f>
        <v>18.318481374494</v>
      </c>
      <c r="R191" s="35">
        <f ca="1">(Wfc-Wwp)*P191</f>
        <v>77.4222890596922</v>
      </c>
      <c r="S191" s="35">
        <f ca="1">(Wfc-Wwp)*Q191</f>
        <v>2.38140257868422</v>
      </c>
      <c r="T191" s="99">
        <f ca="1" t="shared" si="31"/>
        <v>14.242751060497</v>
      </c>
      <c r="U191" s="99">
        <f ca="1" t="shared" si="32"/>
        <v>9.52278458743166</v>
      </c>
      <c r="V191" s="99">
        <f ca="1">IF(P191&gt;P190,IF(Q191&gt;1,MAX(AI190+(Wfc-Wwp)*(P191-P190)*AJ190/S190,0),AI190/P190*P191),MAX(AI190+(Wfc-Wwp)*(P191-P190)*AI190/R190,0))</f>
        <v>26.9256178979803</v>
      </c>
      <c r="W191" s="99">
        <f ca="1">IF(S191&gt;1,IF(P191&gt;P190,MAX(AJ190-(Wfc-Wwp)*(P191-P190)*AJ190/S190,0),MAX(AJ190-(Wfc-Wwp)*(P191-P190)*AI190/R190,0)),0)</f>
        <v>4.12625706707342e-7</v>
      </c>
      <c r="X191" s="99">
        <f ca="1">IF(AND(OR(AND(dec_vide_TAW&lt;0,V191&gt;R191*(p+0.04*(5-I190))),AND(dec_vide_TAW&gt;0,V191&gt;R191*dec_vide_TAW)),H191&gt;MAX(INDEX(H:H,Lig_min,1):INDEX(H:H,ROW(X191),1))*Kcbmax_stop_irrig*IF(ROW(X191)-lig_kcbmax&gt;0,1,0),MIN(INDEX(H:H,ROW(X191),1):INDEX(H:H,lig_kcbmax,1))&gt;Kcbmin_start_irrig),MIN(MAX(V191-E191*Irri_man-C191,0),Lame_max),0)</f>
        <v>0</v>
      </c>
      <c r="Y191" s="99">
        <f ca="1">MIN(MAX(T191-C191-IF(fw&gt;0,X191/fw*Irri_auto+E191/fw*Irri_man,0),0),TEW)</f>
        <v>7.90675106049696</v>
      </c>
      <c r="Z191" s="99">
        <f ca="1">MIN(MAX(U191-C191,0),TEW)</f>
        <v>3.18678458743166</v>
      </c>
      <c r="AA191" s="99">
        <f ca="1">MIN(MAX(V191-C191-(X191*Irri_auto+E191*Irri_man),0),R191)</f>
        <v>20.5896178979803</v>
      </c>
      <c r="AB191" s="99">
        <f ca="1">MIN(MAX(W191+MIN(V191-C191-(X191*Irri_auto+E191*Irri_man),0),0),S191)</f>
        <v>4.12625706707342e-7</v>
      </c>
      <c r="AC191" s="99">
        <f ca="1">-MIN(W191+MIN(V191-C191-(X191*Irri_auto+E191*Irri_man),0),0)</f>
        <v>0</v>
      </c>
      <c r="AD191" s="39">
        <f ca="1">IF(((R191-AA191)/P191-((Wfc-Wwp)*Ze-Y191)/Ze)/Wfc*DiffE&lt;0,MAX(((R191-AA191)/P191-((Wfc-Wwp)*Ze-Y191)/Ze)/Wfc*DiffE,(R191*Ze-((Wfc-Wwp)*Ze-Y191-AA191)*P191)/(P191+Ze)-AA191),MIN(((R191-AA191)/P191-((Wfc-Wwp)*Ze-Y191)/Ze)/Wfc*DiffE,(R191*Ze-((Wfc-Wwp)*Ze-Y191-AA191)*P191)/(P191+Ze)-AA191))</f>
        <v>7.1704796811841e-8</v>
      </c>
      <c r="AE191" s="39">
        <f ca="1">IF(((R191-AA191)/P191-((Wfc-Wwp)*Ze-Z191)/Ze)/Wfc*DiffE&lt;0,MAX(((R191-AA191)/P191-((Wfc-Wwp)*Ze-Z191)/Ze)/Wfc*DiffE,(R191*Ze-((Wfc-Wwp)*Ze-Z191-AA191)*P191)/(P191+Ze)-AA191),MIN(((R191-AA191)/P191-((Wfc-Wwp)*Ze-Z191)/Ze)/Wfc*DiffE,(R191*Ze-((Wfc-Wwp)*Ze-Z191-AA191)*P191)/(P191+Ze)-AA191))</f>
        <v>-2.26945326494649e-8</v>
      </c>
      <c r="AF191" s="39">
        <f ca="1">IF(((S191-AB191)/Q191-(R191-AA191)/P191)/Wfc*DiffR&lt;0,MAX(((S191-AB191)/Q191-(R191-AA191)/P191)/Wfc*DiffR,(S191*P191-(R191-AA191-AB191)*Q191)/(P191+Q191)-AB191),MIN(((S191-AB191)/Q191-(R191-AA191)/P191)/Wfc*DiffR,(S191*P191-(R191-AA191-AB191)*Q191)/(P191+Q191)-AB191))</f>
        <v>8.6430168085337e-8</v>
      </c>
      <c r="AG191" s="99">
        <f ca="1">MIN(MAX(Y191+IF(AU191&gt;0,B191*AZ191/AU191,0)+BE191-AD191,0),TEW)</f>
        <v>8.8720538759892</v>
      </c>
      <c r="AH191" s="99">
        <f ca="1">MIN(MAX(Z191+IF(AV191&gt;0,B191*BA191/AV191,0)+BF191-AE191,0),TEW)</f>
        <v>4.33275814082641</v>
      </c>
      <c r="AI191" s="99">
        <f ca="1" t="shared" si="23"/>
        <v>22.9645117060044</v>
      </c>
      <c r="AJ191" s="99">
        <f ca="1" t="shared" si="24"/>
        <v>4.99055874792679e-7</v>
      </c>
      <c r="AK191" s="70">
        <f ca="1">IF((AU191+AV191)&gt;0,(TEW-(AG191*AU191+AH191*AV191)/(AU191+AV191))/TEW,(TEW-(AG191+AH191)/2)/TEW)</f>
        <v>0.800682082765047</v>
      </c>
      <c r="AL191" s="70">
        <f ca="1" t="shared" si="25"/>
        <v>0.703386298895155</v>
      </c>
      <c r="AM191" s="70">
        <f ca="1" t="shared" si="26"/>
        <v>0.999999790436157</v>
      </c>
      <c r="AN191" s="70">
        <f ca="1">Wwp+(Wfc-Wwp)*IF((AU191+AV191)&gt;0,(TEW-(AG191*AU191+AH191*AV191)/(AU191+AV191))/TEW,(TEW-(AG191+AH191)/2)/TEW)</f>
        <v>0.374088670759456</v>
      </c>
      <c r="AO191" s="70">
        <f ca="1">Wwp+(Wfc-Wwp)*(R191-AI191)/R191</f>
        <v>0.36144021885637</v>
      </c>
      <c r="AP191" s="70">
        <f ca="1">Wwp+(Wfc-Wwp)*(S191-AJ191)/S191</f>
        <v>0.399999972756701</v>
      </c>
      <c r="AQ191" s="70"/>
      <c r="AR191" s="70"/>
      <c r="AS191" s="70"/>
      <c r="AT191" s="70"/>
      <c r="AU191" s="70">
        <f ca="1">MIN((1-G191),fw)</f>
        <v>0</v>
      </c>
      <c r="AV191" s="70">
        <f ca="1" t="shared" si="27"/>
        <v>0</v>
      </c>
      <c r="AW191" s="70">
        <f ca="1">MIN((TEW-Y191)/(TEW-REW),1)</f>
        <v>0.0968976100430255</v>
      </c>
      <c r="AX191" s="70">
        <f ca="1">MIN((TEW-Z191)/(TEW-REW),1)</f>
        <v>0.115033423985556</v>
      </c>
      <c r="AY191" s="70">
        <f ca="1">IF((AU191*(TEW-Y191))&gt;0,1/(1+((AV191*(TEW-Z191))/(AU191*(TEW-Y191)))),0)</f>
        <v>0</v>
      </c>
      <c r="AZ191" s="70">
        <f ca="1">MIN((AY191*AW191*(Kcmax-H191)),AU191*Kcmax)</f>
        <v>0</v>
      </c>
      <c r="BA191" s="70">
        <f ca="1">MIN(((1-AY191)*AX191*(Kcmax-H191)),AV191*Kcmax)</f>
        <v>0</v>
      </c>
      <c r="BB191" s="70">
        <f ca="1" t="shared" si="28"/>
        <v>0</v>
      </c>
      <c r="BC191" s="70">
        <f ca="1">MIN((R191-AA191)/(R191*(1-(p+0.04*(5-I190)))),1)</f>
        <v>1</v>
      </c>
      <c r="BD191" s="10">
        <f ca="1" t="shared" si="29"/>
        <v>2.37489389445425</v>
      </c>
      <c r="BE191" s="70">
        <f ca="1">MIN(IF((1-AA191/R191)&gt;0,(1-Y191/TEW)/(1-AA191/R191)*(Ze/P191)^0.6,0),1)*BC191*H191*B191</f>
        <v>0.965302887197042</v>
      </c>
      <c r="BF191" s="70">
        <f ca="1">MIN(IF((1-AA191/R191)&gt;0,(1-Z191/TEW)/(1-AA191/R191)*(Ze/P191)^0.6,0),1)*BC191*H191*B191</f>
        <v>1.14597353070021</v>
      </c>
      <c r="BH191" s="10">
        <f ca="1" t="shared" si="30"/>
        <v>0.448584745937392</v>
      </c>
      <c r="BI191" s="10">
        <f ca="1">IF(F191&lt;&gt;"",(Moy_Etobs-F191)^2,"")</f>
        <v>0.00926533831789508</v>
      </c>
    </row>
    <row r="192" spans="1:61">
      <c r="A192" s="38">
        <v>39185</v>
      </c>
      <c r="B192" s="10">
        <v>0.84</v>
      </c>
      <c r="C192" s="39">
        <v>5.346</v>
      </c>
      <c r="D192">
        <v>0.913</v>
      </c>
      <c r="E192" s="39">
        <v>0</v>
      </c>
      <c r="F192"/>
      <c r="G192" s="10">
        <f ca="1">MIN(MAX(IF(AND(Durpla&gt;ROW()-MATCH(NDVImax,INDEX(D:D,Lig_min,1):INDEX(D:D,Lig_max,1),0)-Lig_min+1,ROW()-MATCH(NDVImax,INDEX(D:D,Lig_min,1):INDEX(D:D,Lig_max,1),0)-Lig_min+1&gt;0,D192*a_fc+b_fc&gt;fc_fin),NDVImax*a_fc+b_fc,D192*a_fc+b_fc),0),1)</f>
        <v>1</v>
      </c>
      <c r="H192" s="55">
        <f>MIN(MAX(D192*a_kcb+b_kcb,0),Kcmax)</f>
        <v>1.14683428360585</v>
      </c>
      <c r="I192" s="70">
        <f ca="1" t="shared" si="22"/>
        <v>0.963340798228916</v>
      </c>
      <c r="O192" s="55"/>
      <c r="P192" s="35">
        <f ca="1">IF(ROW()-MATCH(NDVImax,INDEX(D:D,Lig_min,1):INDEX(D:D,Lig_max,1),0)-Lig_min+1&gt;0,MAX(MIN(Zr_min+MAX(INDEX(G:G,Lig_min,1):INDEX(G:G,Lig_max,1))/MAX(MAX(INDEX(G:G,Lig_min,1):INDEX(G:G,Lig_max,1)),Max_fc_pour_Zrmax)*(Zr_max-Zr_min),Zr_max),Ze+0.001),MAX(MIN(Zr_min+G192/MAX(MAX(INDEX(G:G,Lig_min,1):INDEX(G:G,Lig_max,1)),Max_fc_pour_Zrmax)*(Zr_max-Zr_min),Zr_max),Ze+0.001))</f>
        <v>595.55606968994</v>
      </c>
      <c r="Q192" s="35">
        <f ca="1">IF(Z_sol&gt;0,Z_sol-P192,0.1)</f>
        <v>18.318481374494</v>
      </c>
      <c r="R192" s="35">
        <f ca="1">(Wfc-Wwp)*P192</f>
        <v>77.4222890596922</v>
      </c>
      <c r="S192" s="35">
        <f ca="1">(Wfc-Wwp)*Q192</f>
        <v>2.38140257868422</v>
      </c>
      <c r="T192" s="99">
        <f ca="1" t="shared" si="31"/>
        <v>8.8720538759892</v>
      </c>
      <c r="U192" s="99">
        <f ca="1" t="shared" si="32"/>
        <v>4.33275814082641</v>
      </c>
      <c r="V192" s="99">
        <f ca="1">IF(P192&gt;P191,IF(Q192&gt;1,MAX(AI191+(Wfc-Wwp)*(P192-P191)*AJ191/S191,0),AI191/P191*P192),MAX(AI191+(Wfc-Wwp)*(P192-P191)*AI191/R191,0))</f>
        <v>22.9645117060044</v>
      </c>
      <c r="W192" s="99">
        <f ca="1">IF(S192&gt;1,IF(P192&gt;P191,MAX(AJ191-(Wfc-Wwp)*(P192-P191)*AJ191/S191,0),MAX(AJ191-(Wfc-Wwp)*(P192-P191)*AI191/R191,0)),0)</f>
        <v>4.99055874792679e-7</v>
      </c>
      <c r="X192" s="99">
        <f ca="1">IF(AND(OR(AND(dec_vide_TAW&lt;0,V192&gt;R192*(p+0.04*(5-I191))),AND(dec_vide_TAW&gt;0,V192&gt;R192*dec_vide_TAW)),H192&gt;MAX(INDEX(H:H,Lig_min,1):INDEX(H:H,ROW(X192),1))*Kcbmax_stop_irrig*IF(ROW(X192)-lig_kcbmax&gt;0,1,0),MIN(INDEX(H:H,ROW(X192),1):INDEX(H:H,lig_kcbmax,1))&gt;Kcbmin_start_irrig),MIN(MAX(V192-E192*Irri_man-C192,0),Lame_max),0)</f>
        <v>0</v>
      </c>
      <c r="Y192" s="99">
        <f ca="1">MIN(MAX(T192-C192-IF(fw&gt;0,X192/fw*Irri_auto+E192/fw*Irri_man,0),0),TEW)</f>
        <v>3.5260538759892</v>
      </c>
      <c r="Z192" s="99">
        <f ca="1">MIN(MAX(U192-C192,0),TEW)</f>
        <v>0</v>
      </c>
      <c r="AA192" s="99">
        <f ca="1">MIN(MAX(V192-C192-(X192*Irri_auto+E192*Irri_man),0),R192)</f>
        <v>17.6185117060044</v>
      </c>
      <c r="AB192" s="99">
        <f ca="1">MIN(MAX(W192+MIN(V192-C192-(X192*Irri_auto+E192*Irri_man),0),0),S192)</f>
        <v>4.99055874792679e-7</v>
      </c>
      <c r="AC192" s="99">
        <f ca="1">-MIN(W192+MIN(V192-C192-(X192*Irri_auto+E192*Irri_man),0),0)</f>
        <v>0</v>
      </c>
      <c r="AD192" s="39">
        <f ca="1">IF(((R192-AA192)/P192-((Wfc-Wwp)*Ze-Y192)/Ze)/Wfc*DiffE&lt;0,MAX(((R192-AA192)/P192-((Wfc-Wwp)*Ze-Y192)/Ze)/Wfc*DiffE,(R192*Ze-((Wfc-Wwp)*Ze-Y192-AA192)*P192)/(P192+Ze)-AA192),MIN(((R192-AA192)/P192-((Wfc-Wwp)*Ze-Y192)/Ze)/Wfc*DiffE,(R192*Ze-((Wfc-Wwp)*Ze-Y192-AA192)*P192)/(P192+Ze)-AA192))</f>
        <v>-3.43716336917637e-9</v>
      </c>
      <c r="AE192" s="39">
        <f ca="1">IF(((R192-AA192)/P192-((Wfc-Wwp)*Ze-Z192)/Ze)/Wfc*DiffE&lt;0,MAX(((R192-AA192)/P192-((Wfc-Wwp)*Ze-Z192)/Ze)/Wfc*DiffE,(R192*Ze-((Wfc-Wwp)*Ze-Z192-AA192)*P192)/(P192+Ze)-AA192),MIN(((R192-AA192)/P192-((Wfc-Wwp)*Ze-Z192)/Ze)/Wfc*DiffE,(R192*Ze-((Wfc-Wwp)*Ze-Z192-AA192)*P192)/(P192+Ze)-AA192))</f>
        <v>-7.39582408889604e-8</v>
      </c>
      <c r="AF192" s="39">
        <f ca="1">IF(((S192-AB192)/Q192-(R192-AA192)/P192)/Wfc*DiffR&lt;0,MAX(((S192-AB192)/Q192-(R192-AA192)/P192)/Wfc*DiffR,(S192*P192-(R192-AA192-AB192)*Q192)/(P192+Q192)-AB192),MIN(((S192-AB192)/Q192-(R192-AA192)/P192)/Wfc*DiffR,(S192*P192-(R192-AA192-AB192)*Q192)/(P192+Q192)-AB192))</f>
        <v>7.39581727807117e-8</v>
      </c>
      <c r="AG192" s="99">
        <f ca="1">MIN(MAX(Y192+IF(AU192&gt;0,B192*AZ192/AU192,0)+BE192-AD192,0),TEW)</f>
        <v>3.96280107084505</v>
      </c>
      <c r="AH192" s="99">
        <f ca="1">MIN(MAX(Z192+IF(AV192&gt;0,B192*BA192/AV192,0)+BF192-AE192,0),TEW)</f>
        <v>0.488775946421083</v>
      </c>
      <c r="AI192" s="99">
        <f ca="1" t="shared" si="23"/>
        <v>18.5818524302752</v>
      </c>
      <c r="AJ192" s="99">
        <f ca="1" t="shared" si="24"/>
        <v>5.73014047573391e-7</v>
      </c>
      <c r="AK192" s="70">
        <f ca="1">IF((AU192+AV192)&gt;0,(TEW-(AG192*AU192+AH192*AV192)/(AU192+AV192))/TEW,(TEW-(AG192+AH192)/2)/TEW)</f>
        <v>0.93280638464504</v>
      </c>
      <c r="AL192" s="70">
        <f ca="1" t="shared" si="25"/>
        <v>0.759993502440251</v>
      </c>
      <c r="AM192" s="70">
        <f ca="1" t="shared" si="26"/>
        <v>0.999999759379597</v>
      </c>
      <c r="AN192" s="70">
        <f ca="1">Wwp+(Wfc-Wwp)*IF((AU192+AV192)&gt;0,(TEW-(AG192*AU192+AH192*AV192)/(AU192+AV192))/TEW,(TEW-(AG192+AH192)/2)/TEW)</f>
        <v>0.391264830003855</v>
      </c>
      <c r="AO192" s="70">
        <f ca="1">Wwp+(Wfc-Wwp)*(R192-AI192)/R192</f>
        <v>0.368799155317233</v>
      </c>
      <c r="AP192" s="70">
        <f ca="1">Wwp+(Wfc-Wwp)*(S192-AJ192)/S192</f>
        <v>0.399999968719348</v>
      </c>
      <c r="AQ192" s="70"/>
      <c r="AR192" s="70"/>
      <c r="AS192" s="70"/>
      <c r="AT192" s="70"/>
      <c r="AU192" s="70">
        <f ca="1">MIN((1-G192),fw)</f>
        <v>0</v>
      </c>
      <c r="AV192" s="70">
        <f ca="1" t="shared" si="27"/>
        <v>0</v>
      </c>
      <c r="AW192" s="70">
        <f ca="1">MIN((TEW-Y192)/(TEW-REW),1)</f>
        <v>0.113729828985717</v>
      </c>
      <c r="AX192" s="70">
        <f ca="1">MIN((TEW-Z192)/(TEW-REW),1)</f>
        <v>0.12727820001996</v>
      </c>
      <c r="AY192" s="70">
        <f ca="1">IF((AU192*(TEW-Y192))&gt;0,1/(1+((AV192*(TEW-Z192))/(AU192*(TEW-Y192)))),0)</f>
        <v>0</v>
      </c>
      <c r="AZ192" s="70">
        <f ca="1">MIN((AY192*AW192*(Kcmax-H192)),AU192*Kcmax)</f>
        <v>0</v>
      </c>
      <c r="BA192" s="70">
        <f ca="1">MIN(((1-AY192)*AX192*(Kcmax-H192)),AV192*Kcmax)</f>
        <v>0</v>
      </c>
      <c r="BB192" s="70">
        <f ca="1" t="shared" si="28"/>
        <v>0</v>
      </c>
      <c r="BC192" s="70">
        <f ca="1">MIN((R192-AA192)/(R192*(1-(p+0.04*(5-I191)))),1)</f>
        <v>1</v>
      </c>
      <c r="BD192" s="10">
        <f ca="1" t="shared" si="29"/>
        <v>0.963340798228916</v>
      </c>
      <c r="BE192" s="70">
        <f ca="1">MIN(IF((1-AA192/R192)&gt;0,(1-Y192/TEW)/(1-AA192/R192)*(Ze/P192)^0.6,0),1)*BC192*H192*B192</f>
        <v>0.436747191418688</v>
      </c>
      <c r="BF192" s="70">
        <f ca="1">MIN(IF((1-AA192/R192)&gt;0,(1-Z192/TEW)/(1-AA192/R192)*(Ze/P192)^0.6,0),1)*BC192*H192*B192</f>
        <v>0.488775872462842</v>
      </c>
      <c r="BH192" s="10" t="str">
        <f ca="1" t="shared" si="30"/>
        <v/>
      </c>
      <c r="BI192" s="10" t="str">
        <f ca="1">IF(F192&lt;&gt;"",(Moy_Etobs-F192)^2,"")</f>
        <v/>
      </c>
    </row>
    <row r="193" spans="1:61">
      <c r="A193" s="38">
        <v>39186</v>
      </c>
      <c r="B193" s="10">
        <v>0.963</v>
      </c>
      <c r="C193" s="39">
        <v>1.386</v>
      </c>
      <c r="D193">
        <v>0.916</v>
      </c>
      <c r="E193" s="39">
        <v>0</v>
      </c>
      <c r="F193"/>
      <c r="G193" s="10">
        <f ca="1">MIN(MAX(IF(AND(Durpla&gt;ROW()-MATCH(NDVImax,INDEX(D:D,Lig_min,1):INDEX(D:D,Lig_max,1),0)-Lig_min+1,ROW()-MATCH(NDVImax,INDEX(D:D,Lig_min,1):INDEX(D:D,Lig_max,1),0)-Lig_min+1&gt;0,D193*a_fc+b_fc&gt;fc_fin),NDVImax*a_fc+b_fc,D193*a_fc+b_fc),0),1)</f>
        <v>1</v>
      </c>
      <c r="H193" s="55">
        <f>MIN(MAX(D193*a_kcb+b_kcb,0),Kcmax)</f>
        <v>1.15</v>
      </c>
      <c r="I193" s="70">
        <f ca="1" t="shared" si="22"/>
        <v>1.10745</v>
      </c>
      <c r="O193" s="55"/>
      <c r="P193" s="35">
        <f ca="1">IF(ROW()-MATCH(NDVImax,INDEX(D:D,Lig_min,1):INDEX(D:D,Lig_max,1),0)-Lig_min+1&gt;0,MAX(MIN(Zr_min+MAX(INDEX(G:G,Lig_min,1):INDEX(G:G,Lig_max,1))/MAX(MAX(INDEX(G:G,Lig_min,1):INDEX(G:G,Lig_max,1)),Max_fc_pour_Zrmax)*(Zr_max-Zr_min),Zr_max),Ze+0.001),MAX(MIN(Zr_min+G193/MAX(MAX(INDEX(G:G,Lig_min,1):INDEX(G:G,Lig_max,1)),Max_fc_pour_Zrmax)*(Zr_max-Zr_min),Zr_max),Ze+0.001))</f>
        <v>595.55606968994</v>
      </c>
      <c r="Q193" s="35">
        <f ca="1">IF(Z_sol&gt;0,Z_sol-P193,0.1)</f>
        <v>18.318481374494</v>
      </c>
      <c r="R193" s="35">
        <f ca="1">(Wfc-Wwp)*P193</f>
        <v>77.4222890596922</v>
      </c>
      <c r="S193" s="35">
        <f ca="1">(Wfc-Wwp)*Q193</f>
        <v>2.38140257868422</v>
      </c>
      <c r="T193" s="99">
        <f ca="1" t="shared" si="31"/>
        <v>3.96280107084505</v>
      </c>
      <c r="U193" s="99">
        <f ca="1" t="shared" si="32"/>
        <v>0.488775946421083</v>
      </c>
      <c r="V193" s="99">
        <f ca="1">IF(P193&gt;P192,IF(Q193&gt;1,MAX(AI192+(Wfc-Wwp)*(P193-P192)*AJ192/S192,0),AI192/P192*P193),MAX(AI192+(Wfc-Wwp)*(P193-P192)*AI192/R192,0))</f>
        <v>18.5818524302752</v>
      </c>
      <c r="W193" s="99">
        <f ca="1">IF(S193&gt;1,IF(P193&gt;P192,MAX(AJ192-(Wfc-Wwp)*(P193-P192)*AJ192/S192,0),MAX(AJ192-(Wfc-Wwp)*(P193-P192)*AI192/R192,0)),0)</f>
        <v>5.73014047573391e-7</v>
      </c>
      <c r="X193" s="99">
        <f ca="1">IF(AND(OR(AND(dec_vide_TAW&lt;0,V193&gt;R193*(p+0.04*(5-I192))),AND(dec_vide_TAW&gt;0,V193&gt;R193*dec_vide_TAW)),H193&gt;MAX(INDEX(H:H,Lig_min,1):INDEX(H:H,ROW(X193),1))*Kcbmax_stop_irrig*IF(ROW(X193)-lig_kcbmax&gt;0,1,0),MIN(INDEX(H:H,ROW(X193),1):INDEX(H:H,lig_kcbmax,1))&gt;Kcbmin_start_irrig),MIN(MAX(V193-E193*Irri_man-C193,0),Lame_max),0)</f>
        <v>0</v>
      </c>
      <c r="Y193" s="99">
        <f ca="1">MIN(MAX(T193-C193-IF(fw&gt;0,X193/fw*Irri_auto+E193/fw*Irri_man,0),0),TEW)</f>
        <v>2.57680107084505</v>
      </c>
      <c r="Z193" s="99">
        <f ca="1">MIN(MAX(U193-C193,0),TEW)</f>
        <v>0</v>
      </c>
      <c r="AA193" s="99">
        <f ca="1">MIN(MAX(V193-C193-(X193*Irri_auto+E193*Irri_man),0),R193)</f>
        <v>17.1958524302752</v>
      </c>
      <c r="AB193" s="99">
        <f ca="1">MIN(MAX(W193+MIN(V193-C193-(X193*Irri_auto+E193*Irri_man),0),0),S193)</f>
        <v>5.73014047573391e-7</v>
      </c>
      <c r="AC193" s="99">
        <f ca="1">-MIN(W193+MIN(V193-C193-(X193*Irri_auto+E193*Irri_man),0),0)</f>
        <v>0</v>
      </c>
      <c r="AD193" s="39">
        <f ca="1">IF(((R193-AA193)/P193-((Wfc-Wwp)*Ze-Y193)/Ze)/Wfc*DiffE&lt;0,MAX(((R193-AA193)/P193-((Wfc-Wwp)*Ze-Y193)/Ze)/Wfc*DiffE,(R193*Ze-((Wfc-Wwp)*Ze-Y193-AA193)*P193)/(P193+Ze)-AA193),MIN(((R193-AA193)/P193-((Wfc-Wwp)*Ze-Y193)/Ze)/Wfc*DiffE,(R193*Ze-((Wfc-Wwp)*Ze-Y193-AA193)*P193)/(P193+Ze)-AA193))</f>
        <v>-2.06479982977654e-8</v>
      </c>
      <c r="AE193" s="39">
        <f ca="1">IF(((R193-AA193)/P193-((Wfc-Wwp)*Ze-Z193)/Ze)/Wfc*DiffE&lt;0,MAX(((R193-AA193)/P193-((Wfc-Wwp)*Ze-Z193)/Ze)/Wfc*DiffE,(R193*Ze-((Wfc-Wwp)*Ze-Z193-AA193)*P193)/(P193+Ze)-AA193),MIN(((R193-AA193)/P193-((Wfc-Wwp)*Ze-Z193)/Ze)/Wfc*DiffE,(R193*Ze-((Wfc-Wwp)*Ze-Z193-AA193)*P193)/(P193+Ze)-AA193))</f>
        <v>-7.21840197146665e-8</v>
      </c>
      <c r="AF193" s="39">
        <f ca="1">IF(((S193-AB193)/Q193-(R193-AA193)/P193)/Wfc*DiffR&lt;0,MAX(((S193-AB193)/Q193-(R193-AA193)/P193)/Wfc*DiffR,(S193*P193-(R193-AA193-AB193)*Q193)/(P193+Q193)-AB193),MIN(((S193-AB193)/Q193-(R193-AA193)/P193)/Wfc*DiffR,(S193*P193-(R193-AA193-AB193)*Q193)/(P193+Q193)-AB193))</f>
        <v>7.21839415130356e-8</v>
      </c>
      <c r="AG193" s="99">
        <f ca="1">MIN(MAX(Y193+IF(AU193&gt;0,B193*AZ193/AU193,0)+BE193-AD193,0),TEW)</f>
        <v>3.09134815541882</v>
      </c>
      <c r="AH193" s="99">
        <f ca="1">MIN(MAX(Z193+IF(AV193&gt;0,B193*BA193/AV193,0)+BF193-AE193,0),TEW)</f>
        <v>0.557950199851746</v>
      </c>
      <c r="AI193" s="99">
        <f ca="1" t="shared" si="23"/>
        <v>18.3033023580912</v>
      </c>
      <c r="AJ193" s="99">
        <f ca="1" t="shared" si="24"/>
        <v>6.45197989086426e-7</v>
      </c>
      <c r="AK193" s="70">
        <f ca="1">IF((AU193+AV193)&gt;0,(TEW-(AG193*AU193+AH193*AV193)/(AU193+AV193))/TEW,(TEW-(AG193+AH193)/2)/TEW)</f>
        <v>0.944916251241199</v>
      </c>
      <c r="AL193" s="70">
        <f ca="1" t="shared" si="25"/>
        <v>0.763591304514654</v>
      </c>
      <c r="AM193" s="70">
        <f ca="1" t="shared" si="26"/>
        <v>0.999999729068073</v>
      </c>
      <c r="AN193" s="70">
        <f ca="1">Wwp+(Wfc-Wwp)*IF((AU193+AV193)&gt;0,(TEW-(AG193*AU193+AH193*AV193)/(AU193+AV193))/TEW,(TEW-(AG193+AH193)/2)/TEW)</f>
        <v>0.392839112661356</v>
      </c>
      <c r="AO193" s="70">
        <f ca="1">Wwp+(Wfc-Wwp)*(R193-AI193)/R193</f>
        <v>0.369266869586905</v>
      </c>
      <c r="AP193" s="70">
        <f ca="1">Wwp+(Wfc-Wwp)*(S193-AJ193)/S193</f>
        <v>0.39999996477885</v>
      </c>
      <c r="AQ193" s="70"/>
      <c r="AR193" s="70"/>
      <c r="AS193" s="70"/>
      <c r="AT193" s="70"/>
      <c r="AU193" s="70">
        <f ca="1">MIN((1-G193),fw)</f>
        <v>0</v>
      </c>
      <c r="AV193" s="70">
        <f ca="1" t="shared" si="27"/>
        <v>0</v>
      </c>
      <c r="AW193" s="70">
        <f ca="1">MIN((TEW-Y193)/(TEW-REW),1)</f>
        <v>0.11737720071108</v>
      </c>
      <c r="AX193" s="70">
        <f ca="1">MIN((TEW-Z193)/(TEW-REW),1)</f>
        <v>0.12727820001996</v>
      </c>
      <c r="AY193" s="70">
        <f ca="1">IF((AU193*(TEW-Y193))&gt;0,1/(1+((AV193*(TEW-Z193))/(AU193*(TEW-Y193)))),0)</f>
        <v>0</v>
      </c>
      <c r="AZ193" s="70">
        <f ca="1">MIN((AY193*AW193*(Kcmax-H193)),AU193*Kcmax)</f>
        <v>0</v>
      </c>
      <c r="BA193" s="70">
        <f ca="1">MIN(((1-AY193)*AX193*(Kcmax-H193)),AV193*Kcmax)</f>
        <v>0</v>
      </c>
      <c r="BB193" s="70">
        <f ca="1" t="shared" si="28"/>
        <v>0</v>
      </c>
      <c r="BC193" s="70">
        <f ca="1">MIN((R193-AA193)/(R193*(1-(p+0.04*(5-I192)))),1)</f>
        <v>1</v>
      </c>
      <c r="BD193" s="10">
        <f ca="1" t="shared" si="29"/>
        <v>1.10745</v>
      </c>
      <c r="BE193" s="70">
        <f ca="1">MIN(IF((1-AA193/R193)&gt;0,(1-Y193/TEW)/(1-AA193/R193)*(Ze/P193)^0.6,0),1)*BC193*H193*B193</f>
        <v>0.514547063925769</v>
      </c>
      <c r="BF193" s="70">
        <f ca="1">MIN(IF((1-AA193/R193)&gt;0,(1-Z193/TEW)/(1-AA193/R193)*(Ze/P193)^0.6,0),1)*BC193*H193*B193</f>
        <v>0.557950127667727</v>
      </c>
      <c r="BH193" s="10" t="str">
        <f ca="1" t="shared" si="30"/>
        <v/>
      </c>
      <c r="BI193" s="10" t="str">
        <f ca="1">IF(F193&lt;&gt;"",(Moy_Etobs-F193)^2,"")</f>
        <v/>
      </c>
    </row>
    <row r="194" spans="1:61">
      <c r="A194" s="38">
        <v>39187</v>
      </c>
      <c r="B194" s="10">
        <v>1.334</v>
      </c>
      <c r="C194" s="39">
        <v>0</v>
      </c>
      <c r="D194">
        <v>0.919</v>
      </c>
      <c r="E194" s="39">
        <v>0</v>
      </c>
      <c r="F194" s="39">
        <v>1.195794</v>
      </c>
      <c r="G194" s="10">
        <f ca="1">MIN(MAX(IF(AND(Durpla&gt;ROW()-MATCH(NDVImax,INDEX(D:D,Lig_min,1):INDEX(D:D,Lig_max,1),0)-Lig_min+1,ROW()-MATCH(NDVImax,INDEX(D:D,Lig_min,1):INDEX(D:D,Lig_max,1),0)-Lig_min+1&gt;0,D194*a_fc+b_fc&gt;fc_fin),NDVImax*a_fc+b_fc,D194*a_fc+b_fc),0),1)</f>
        <v>1</v>
      </c>
      <c r="H194" s="55">
        <f>MIN(MAX(D194*a_kcb+b_kcb,0),Kcmax)</f>
        <v>1.15</v>
      </c>
      <c r="I194" s="70">
        <f ca="1" t="shared" si="22"/>
        <v>1.5341</v>
      </c>
      <c r="O194" s="55"/>
      <c r="P194" s="35">
        <f ca="1">IF(ROW()-MATCH(NDVImax,INDEX(D:D,Lig_min,1):INDEX(D:D,Lig_max,1),0)-Lig_min+1&gt;0,MAX(MIN(Zr_min+MAX(INDEX(G:G,Lig_min,1):INDEX(G:G,Lig_max,1))/MAX(MAX(INDEX(G:G,Lig_min,1):INDEX(G:G,Lig_max,1)),Max_fc_pour_Zrmax)*(Zr_max-Zr_min),Zr_max),Ze+0.001),MAX(MIN(Zr_min+G194/MAX(MAX(INDEX(G:G,Lig_min,1):INDEX(G:G,Lig_max,1)),Max_fc_pour_Zrmax)*(Zr_max-Zr_min),Zr_max),Ze+0.001))</f>
        <v>595.55606968994</v>
      </c>
      <c r="Q194" s="35">
        <f ca="1">IF(Z_sol&gt;0,Z_sol-P194,0.1)</f>
        <v>18.318481374494</v>
      </c>
      <c r="R194" s="35">
        <f ca="1">(Wfc-Wwp)*P194</f>
        <v>77.4222890596922</v>
      </c>
      <c r="S194" s="35">
        <f ca="1">(Wfc-Wwp)*Q194</f>
        <v>2.38140257868422</v>
      </c>
      <c r="T194" s="99">
        <f ca="1" t="shared" si="31"/>
        <v>3.09134815541882</v>
      </c>
      <c r="U194" s="99">
        <f ca="1" t="shared" si="32"/>
        <v>0.557950199851746</v>
      </c>
      <c r="V194" s="99">
        <f ca="1">IF(P194&gt;P193,IF(Q194&gt;1,MAX(AI193+(Wfc-Wwp)*(P194-P193)*AJ193/S193,0),AI193/P193*P194),MAX(AI193+(Wfc-Wwp)*(P194-P193)*AI193/R193,0))</f>
        <v>18.3033023580912</v>
      </c>
      <c r="W194" s="99">
        <f ca="1">IF(S194&gt;1,IF(P194&gt;P193,MAX(AJ193-(Wfc-Wwp)*(P194-P193)*AJ193/S193,0),MAX(AJ193-(Wfc-Wwp)*(P194-P193)*AI193/R193,0)),0)</f>
        <v>6.45197989086426e-7</v>
      </c>
      <c r="X194" s="99">
        <f ca="1">IF(AND(OR(AND(dec_vide_TAW&lt;0,V194&gt;R194*(p+0.04*(5-I193))),AND(dec_vide_TAW&gt;0,V194&gt;R194*dec_vide_TAW)),H194&gt;MAX(INDEX(H:H,Lig_min,1):INDEX(H:H,ROW(X194),1))*Kcbmax_stop_irrig*IF(ROW(X194)-lig_kcbmax&gt;0,1,0),MIN(INDEX(H:H,ROW(X194),1):INDEX(H:H,lig_kcbmax,1))&gt;Kcbmin_start_irrig),MIN(MAX(V194-E194*Irri_man-C194,0),Lame_max),0)</f>
        <v>0</v>
      </c>
      <c r="Y194" s="99">
        <f ca="1">MIN(MAX(T194-C194-IF(fw&gt;0,X194/fw*Irri_auto+E194/fw*Irri_man,0),0),TEW)</f>
        <v>3.09134815541882</v>
      </c>
      <c r="Z194" s="99">
        <f ca="1">MIN(MAX(U194-C194,0),TEW)</f>
        <v>0.557950199851746</v>
      </c>
      <c r="AA194" s="99">
        <f ca="1">MIN(MAX(V194-C194-(X194*Irri_auto+E194*Irri_man),0),R194)</f>
        <v>18.3033023580912</v>
      </c>
      <c r="AB194" s="99">
        <f ca="1">MIN(MAX(W194+MIN(V194-C194-(X194*Irri_auto+E194*Irri_man),0),0),S194)</f>
        <v>6.45197989086426e-7</v>
      </c>
      <c r="AC194" s="99">
        <f ca="1">-MIN(W194+MIN(V194-C194-(X194*Irri_auto+E194*Irri_man),0),0)</f>
        <v>0</v>
      </c>
      <c r="AD194" s="39">
        <f ca="1">IF(((R194-AA194)/P194-((Wfc-Wwp)*Ze-Y194)/Ze)/Wfc*DiffE&lt;0,MAX(((R194-AA194)/P194-((Wfc-Wwp)*Ze-Y194)/Ze)/Wfc*DiffE,(R194*Ze-((Wfc-Wwp)*Ze-Y194-AA194)*P194)/(P194+Ze)-AA194),MIN(((R194-AA194)/P194-((Wfc-Wwp)*Ze-Y194)/Ze)/Wfc*DiffE,(R194*Ze-((Wfc-Wwp)*Ze-Y194-AA194)*P194)/(P194+Ze)-AA194))</f>
        <v>-1.50058629243612e-8</v>
      </c>
      <c r="AE194" s="39">
        <f ca="1">IF(((R194-AA194)/P194-((Wfc-Wwp)*Ze-Z194)/Ze)/Wfc*DiffE&lt;0,MAX(((R194-AA194)/P194-((Wfc-Wwp)*Ze-Z194)/Ze)/Wfc*DiffE,(R194*Ze-((Wfc-Wwp)*Ze-Z194-AA194)*P194)/(P194+Ze)-AA194),MIN(((R194-AA194)/P194-((Wfc-Wwp)*Ze-Z194)/Ze)/Wfc*DiffE,(R194*Ze-((Wfc-Wwp)*Ze-Z194-AA194)*P194)/(P194+Ze)-AA194))</f>
        <v>-6.56738220357026e-8</v>
      </c>
      <c r="AF194" s="39">
        <f ca="1">IF(((S194-AB194)/Q194-(R194-AA194)/P194)/Wfc*DiffR&lt;0,MAX(((S194-AB194)/Q194-(R194-AA194)/P194)/Wfc*DiffR,(S194*P194-(R194-AA194-AB194)*Q194)/(P194+Q194)-AB194),MIN(((S194-AB194)/Q194-(R194-AA194)/P194)/Wfc*DiffR,(S194*P194-(R194-AA194-AB194)*Q194)/(P194+Q194)-AB194))</f>
        <v>7.68327379798613e-8</v>
      </c>
      <c r="AG194" s="99">
        <f ca="1">MIN(MAX(Y194+IF(AU194&gt;0,B194*AZ194/AU194,0)+BE194-AD194,0),TEW)</f>
        <v>3.80524814346768</v>
      </c>
      <c r="AH194" s="99">
        <f ca="1">MIN(MAX(Z194+IF(AV194&gt;0,B194*BA194/AV194,0)+BF194-AE194,0),TEW)</f>
        <v>1.33206911376715</v>
      </c>
      <c r="AI194" s="99">
        <f ca="1" t="shared" si="23"/>
        <v>19.8374022812585</v>
      </c>
      <c r="AJ194" s="99">
        <f ca="1" t="shared" si="24"/>
        <v>7.22030727066288e-7</v>
      </c>
      <c r="AK194" s="70">
        <f ca="1">IF((AU194+AV194)&gt;0,(TEW-(AG194*AU194+AH194*AV194)/(AU194+AV194))/TEW,(TEW-(AG194+AH194)/2)/TEW)</f>
        <v>0.92245558857004</v>
      </c>
      <c r="AL194" s="70">
        <f ca="1" t="shared" si="25"/>
        <v>0.743776598158136</v>
      </c>
      <c r="AM194" s="70">
        <f ca="1" t="shared" si="26"/>
        <v>0.999999696804424</v>
      </c>
      <c r="AN194" s="70">
        <f ca="1">Wwp+(Wfc-Wwp)*IF((AU194+AV194)&gt;0,(TEW-(AG194*AU194+AH194*AV194)/(AU194+AV194))/TEW,(TEW-(AG194+AH194)/2)/TEW)</f>
        <v>0.389919226514105</v>
      </c>
      <c r="AO194" s="70">
        <f ca="1">Wwp+(Wfc-Wwp)*(R194-AI194)/R194</f>
        <v>0.366690957760558</v>
      </c>
      <c r="AP194" s="70">
        <f ca="1">Wwp+(Wfc-Wwp)*(S194-AJ194)/S194</f>
        <v>0.399999960584575</v>
      </c>
      <c r="AQ194" s="70"/>
      <c r="AR194" s="70"/>
      <c r="AS194" s="70"/>
      <c r="AT194" s="70"/>
      <c r="AU194" s="70">
        <f ca="1">MIN((1-G194),fw)</f>
        <v>0</v>
      </c>
      <c r="AV194" s="70">
        <f ca="1" t="shared" si="27"/>
        <v>0</v>
      </c>
      <c r="AW194" s="70">
        <f ca="1">MIN((TEW-Y194)/(TEW-REW),1)</f>
        <v>0.11540012518655</v>
      </c>
      <c r="AX194" s="70">
        <f ca="1">MIN((TEW-Z194)/(TEW-REW),1)</f>
        <v>0.125134354068627</v>
      </c>
      <c r="AY194" s="70">
        <f ca="1">IF((AU194*(TEW-Y194))&gt;0,1/(1+((AV194*(TEW-Z194))/(AU194*(TEW-Y194)))),0)</f>
        <v>0</v>
      </c>
      <c r="AZ194" s="70">
        <f ca="1">MIN((AY194*AW194*(Kcmax-H194)),AU194*Kcmax)</f>
        <v>0</v>
      </c>
      <c r="BA194" s="70">
        <f ca="1">MIN(((1-AY194)*AX194*(Kcmax-H194)),AV194*Kcmax)</f>
        <v>0</v>
      </c>
      <c r="BB194" s="70">
        <f ca="1" t="shared" si="28"/>
        <v>0</v>
      </c>
      <c r="BC194" s="70">
        <f ca="1">MIN((R194-AA194)/(R194*(1-(p+0.04*(5-I193)))),1)</f>
        <v>1</v>
      </c>
      <c r="BD194" s="10">
        <f ca="1" t="shared" si="29"/>
        <v>1.5341</v>
      </c>
      <c r="BE194" s="70">
        <f ca="1">MIN(IF((1-AA194/R194)&gt;0,(1-Y194/TEW)/(1-AA194/R194)*(Ze/P194)^0.6,0),1)*BC194*H194*B194</f>
        <v>0.713899973042999</v>
      </c>
      <c r="BF194" s="70">
        <f ca="1">MIN(IF((1-AA194/R194)&gt;0,(1-Z194/TEW)/(1-AA194/R194)*(Ze/P194)^0.6,0),1)*BC194*H194*B194</f>
        <v>0.774118848241582</v>
      </c>
      <c r="BH194" s="10">
        <f ca="1" t="shared" si="30"/>
        <v>0.114450949636</v>
      </c>
      <c r="BI194" s="10">
        <f ca="1">IF(F194&lt;&gt;"",(Moy_Etobs-F194)^2,"")</f>
        <v>0.170633907143517</v>
      </c>
    </row>
    <row r="195" spans="1:61">
      <c r="A195" s="38">
        <v>39188</v>
      </c>
      <c r="B195" s="10">
        <v>1.21</v>
      </c>
      <c r="C195" s="39">
        <v>11.678</v>
      </c>
      <c r="D195">
        <v>0.922</v>
      </c>
      <c r="E195" s="39">
        <v>0</v>
      </c>
      <c r="F195" s="39">
        <v>1.1005974</v>
      </c>
      <c r="G195" s="10">
        <f ca="1">MIN(MAX(IF(AND(Durpla&gt;ROW()-MATCH(NDVImax,INDEX(D:D,Lig_min,1):INDEX(D:D,Lig_max,1),0)-Lig_min+1,ROW()-MATCH(NDVImax,INDEX(D:D,Lig_min,1):INDEX(D:D,Lig_max,1),0)-Lig_min+1&gt;0,D195*a_fc+b_fc&gt;fc_fin),NDVImax*a_fc+b_fc,D195*a_fc+b_fc),0),1)</f>
        <v>1</v>
      </c>
      <c r="H195" s="55">
        <f>MIN(MAX(D195*a_kcb+b_kcb,0),Kcmax)</f>
        <v>1.15</v>
      </c>
      <c r="I195" s="70">
        <f ca="1" t="shared" si="22"/>
        <v>1.3915</v>
      </c>
      <c r="O195" s="55"/>
      <c r="P195" s="35">
        <f ca="1">IF(ROW()-MATCH(NDVImax,INDEX(D:D,Lig_min,1):INDEX(D:D,Lig_max,1),0)-Lig_min+1&gt;0,MAX(MIN(Zr_min+MAX(INDEX(G:G,Lig_min,1):INDEX(G:G,Lig_max,1))/MAX(MAX(INDEX(G:G,Lig_min,1):INDEX(G:G,Lig_max,1)),Max_fc_pour_Zrmax)*(Zr_max-Zr_min),Zr_max),Ze+0.001),MAX(MIN(Zr_min+G195/MAX(MAX(INDEX(G:G,Lig_min,1):INDEX(G:G,Lig_max,1)),Max_fc_pour_Zrmax)*(Zr_max-Zr_min),Zr_max),Ze+0.001))</f>
        <v>595.55606968994</v>
      </c>
      <c r="Q195" s="35">
        <f ca="1">IF(Z_sol&gt;0,Z_sol-P195,0.1)</f>
        <v>18.318481374494</v>
      </c>
      <c r="R195" s="35">
        <f ca="1">(Wfc-Wwp)*P195</f>
        <v>77.4222890596922</v>
      </c>
      <c r="S195" s="35">
        <f ca="1">(Wfc-Wwp)*Q195</f>
        <v>2.38140257868422</v>
      </c>
      <c r="T195" s="99">
        <f ca="1" t="shared" si="31"/>
        <v>3.80524814346768</v>
      </c>
      <c r="U195" s="99">
        <f ca="1" t="shared" si="32"/>
        <v>1.33206911376715</v>
      </c>
      <c r="V195" s="99">
        <f ca="1">IF(P195&gt;P194,IF(Q195&gt;1,MAX(AI194+(Wfc-Wwp)*(P195-P194)*AJ194/S194,0),AI194/P194*P195),MAX(AI194+(Wfc-Wwp)*(P195-P194)*AI194/R194,0))</f>
        <v>19.8374022812585</v>
      </c>
      <c r="W195" s="99">
        <f ca="1">IF(S195&gt;1,IF(P195&gt;P194,MAX(AJ194-(Wfc-Wwp)*(P195-P194)*AJ194/S194,0),MAX(AJ194-(Wfc-Wwp)*(P195-P194)*AI194/R194,0)),0)</f>
        <v>7.22030727066288e-7</v>
      </c>
      <c r="X195" s="99">
        <f ca="1">IF(AND(OR(AND(dec_vide_TAW&lt;0,V195&gt;R195*(p+0.04*(5-I194))),AND(dec_vide_TAW&gt;0,V195&gt;R195*dec_vide_TAW)),H195&gt;MAX(INDEX(H:H,Lig_min,1):INDEX(H:H,ROW(X195),1))*Kcbmax_stop_irrig*IF(ROW(X195)-lig_kcbmax&gt;0,1,0),MIN(INDEX(H:H,ROW(X195),1):INDEX(H:H,lig_kcbmax,1))&gt;Kcbmin_start_irrig),MIN(MAX(V195-E195*Irri_man-C195,0),Lame_max),0)</f>
        <v>0</v>
      </c>
      <c r="Y195" s="99">
        <f ca="1">MIN(MAX(T195-C195-IF(fw&gt;0,X195/fw*Irri_auto+E195/fw*Irri_man,0),0),TEW)</f>
        <v>0</v>
      </c>
      <c r="Z195" s="99">
        <f ca="1">MIN(MAX(U195-C195,0),TEW)</f>
        <v>0</v>
      </c>
      <c r="AA195" s="99">
        <f ca="1">MIN(MAX(V195-C195-(X195*Irri_auto+E195*Irri_man),0),R195)</f>
        <v>8.15940228125849</v>
      </c>
      <c r="AB195" s="99">
        <f ca="1">MIN(MAX(W195+MIN(V195-C195-(X195*Irri_auto+E195*Irri_man),0),0),S195)</f>
        <v>7.22030727066288e-7</v>
      </c>
      <c r="AC195" s="99">
        <f ca="1">-MIN(W195+MIN(V195-C195-(X195*Irri_auto+E195*Irri_man),0),0)</f>
        <v>0</v>
      </c>
      <c r="AD195" s="39">
        <f ca="1">IF(((R195-AA195)/P195-((Wfc-Wwp)*Ze-Y195)/Ze)/Wfc*DiffE&lt;0,MAX(((R195-AA195)/P195-((Wfc-Wwp)*Ze-Y195)/Ze)/Wfc*DiffE,(R195*Ze-((Wfc-Wwp)*Ze-Y195-AA195)*P195)/(P195+Ze)-AA195),MIN(((R195-AA195)/P195-((Wfc-Wwp)*Ze-Y195)/Ze)/Wfc*DiffE,(R195*Ze-((Wfc-Wwp)*Ze-Y195-AA195)*P195)/(P195+Ze)-AA195))</f>
        <v>-3.42511926941928e-8</v>
      </c>
      <c r="AE195" s="39">
        <f ca="1">IF(((R195-AA195)/P195-((Wfc-Wwp)*Ze-Z195)/Ze)/Wfc*DiffE&lt;0,MAX(((R195-AA195)/P195-((Wfc-Wwp)*Ze-Z195)/Ze)/Wfc*DiffE,(R195*Ze-((Wfc-Wwp)*Ze-Z195-AA195)*P195)/(P195+Ze)-AA195),MIN(((R195-AA195)/P195-((Wfc-Wwp)*Ze-Z195)/Ze)/Wfc*DiffE,(R195*Ze-((Wfc-Wwp)*Ze-Z195-AA195)*P195)/(P195+Ze)-AA195))</f>
        <v>-3.42511926941928e-8</v>
      </c>
      <c r="AF195" s="39">
        <f ca="1">IF(((S195-AB195)/Q195-(R195-AA195)/P195)/Wfc*DiffR&lt;0,MAX(((S195-AB195)/Q195-(R195-AA195)/P195)/Wfc*DiffR,(S195*P195-(R195-AA195-AB195)*Q195)/(P195+Q195)-AB195),MIN(((S195-AB195)/Q195-(R195-AA195)/P195)/Wfc*DiffR,(S195*P195-(R195-AA195-AB195)*Q195)/(P195+Q195)-AB195))</f>
        <v>3.42510941556305e-8</v>
      </c>
      <c r="AG195" s="99">
        <f ca="1">MIN(MAX(Y195+IF(AU195&gt;0,B195*AZ195/AU195,0)+BE195-AD195,0),TEW)</f>
        <v>0.609594540582537</v>
      </c>
      <c r="AH195" s="99">
        <f ca="1">MIN(MAX(Z195+IF(AV195&gt;0,B195*BA195/AV195,0)+BF195-AE195,0),TEW)</f>
        <v>0.609594540582537</v>
      </c>
      <c r="AI195" s="99">
        <f ca="1" t="shared" si="23"/>
        <v>9.55090224700739</v>
      </c>
      <c r="AJ195" s="99">
        <f ca="1" t="shared" si="24"/>
        <v>7.56281821221918e-7</v>
      </c>
      <c r="AK195" s="70">
        <f ca="1">IF((AU195+AV195)&gt;0,(TEW-(AG195*AU195+AH195*AV195)/(AU195+AV195))/TEW,(TEW-(AG195+AH195)/2)/TEW)</f>
        <v>0.981597145944678</v>
      </c>
      <c r="AL195" s="70">
        <f ca="1" t="shared" si="25"/>
        <v>0.876638854740607</v>
      </c>
      <c r="AM195" s="70">
        <f ca="1" t="shared" si="26"/>
        <v>0.999999682421684</v>
      </c>
      <c r="AN195" s="70">
        <f ca="1">Wwp+(Wfc-Wwp)*IF((AU195+AV195)&gt;0,(TEW-(AG195*AU195+AH195*AV195)/(AU195+AV195))/TEW,(TEW-(AG195+AH195)/2)/TEW)</f>
        <v>0.397607628972808</v>
      </c>
      <c r="AO195" s="70">
        <f ca="1">Wwp+(Wfc-Wwp)*(R195-AI195)/R195</f>
        <v>0.383963051116279</v>
      </c>
      <c r="AP195" s="70">
        <f ca="1">Wwp+(Wfc-Wwp)*(S195-AJ195)/S195</f>
        <v>0.399999958714819</v>
      </c>
      <c r="AQ195" s="70"/>
      <c r="AR195" s="70"/>
      <c r="AS195" s="70"/>
      <c r="AT195" s="70"/>
      <c r="AU195" s="70">
        <f ca="1">MIN((1-G195),fw)</f>
        <v>0</v>
      </c>
      <c r="AV195" s="70">
        <f ca="1" t="shared" si="27"/>
        <v>0</v>
      </c>
      <c r="AW195" s="70">
        <f ca="1">MIN((TEW-Y195)/(TEW-REW),1)</f>
        <v>0.12727820001996</v>
      </c>
      <c r="AX195" s="70">
        <f ca="1">MIN((TEW-Z195)/(TEW-REW),1)</f>
        <v>0.12727820001996</v>
      </c>
      <c r="AY195" s="70">
        <f ca="1">IF((AU195*(TEW-Y195))&gt;0,1/(1+((AV195*(TEW-Z195))/(AU195*(TEW-Y195)))),0)</f>
        <v>0</v>
      </c>
      <c r="AZ195" s="70">
        <f ca="1">MIN((AY195*AW195*(Kcmax-H195)),AU195*Kcmax)</f>
        <v>0</v>
      </c>
      <c r="BA195" s="70">
        <f ca="1">MIN(((1-AY195)*AX195*(Kcmax-H195)),AV195*Kcmax)</f>
        <v>0</v>
      </c>
      <c r="BB195" s="70">
        <f ca="1" t="shared" si="28"/>
        <v>0</v>
      </c>
      <c r="BC195" s="70">
        <f ca="1">MIN((R195-AA195)/(R195*(1-(p+0.04*(5-I194)))),1)</f>
        <v>1</v>
      </c>
      <c r="BD195" s="10">
        <f ca="1" t="shared" si="29"/>
        <v>1.3915</v>
      </c>
      <c r="BE195" s="70">
        <f ca="1">MIN(IF((1-AA195/R195)&gt;0,(1-Y195/TEW)/(1-AA195/R195)*(Ze/P195)^0.6,0),1)*BC195*H195*B195</f>
        <v>0.609594506331345</v>
      </c>
      <c r="BF195" s="70">
        <f ca="1">MIN(IF((1-AA195/R195)&gt;0,(1-Z195/TEW)/(1-AA195/R195)*(Ze/P195)^0.6,0),1)*BC195*H195*B195</f>
        <v>0.609594506331345</v>
      </c>
      <c r="BH195" s="10">
        <f ca="1" t="shared" si="30"/>
        <v>0.0846243226867599</v>
      </c>
      <c r="BI195" s="10">
        <f ca="1">IF(F195&lt;&gt;"",(Moy_Etobs-F195)^2,"")</f>
        <v>0.258343651084344</v>
      </c>
    </row>
    <row r="196" spans="1:61">
      <c r="A196" s="38">
        <v>39189</v>
      </c>
      <c r="B196" s="10">
        <v>2.726</v>
      </c>
      <c r="C196" s="39">
        <v>0</v>
      </c>
      <c r="D196">
        <v>0.926</v>
      </c>
      <c r="E196" s="39">
        <v>0</v>
      </c>
      <c r="F196" s="39">
        <v>3.1937184</v>
      </c>
      <c r="G196" s="10">
        <f ca="1">MIN(MAX(IF(AND(Durpla&gt;ROW()-MATCH(NDVImax,INDEX(D:D,Lig_min,1):INDEX(D:D,Lig_max,1),0)-Lig_min+1,ROW()-MATCH(NDVImax,INDEX(D:D,Lig_min,1):INDEX(D:D,Lig_max,1),0)-Lig_min+1&gt;0,D196*a_fc+b_fc&gt;fc_fin),NDVImax*a_fc+b_fc,D196*a_fc+b_fc),0),1)</f>
        <v>1</v>
      </c>
      <c r="H196" s="55">
        <f>MIN(MAX(D196*a_kcb+b_kcb,0),Kcmax)</f>
        <v>1.15</v>
      </c>
      <c r="I196" s="70">
        <f ca="1" t="shared" si="22"/>
        <v>3.1349</v>
      </c>
      <c r="O196" s="55"/>
      <c r="P196" s="35">
        <f ca="1">IF(ROW()-MATCH(NDVImax,INDEX(D:D,Lig_min,1):INDEX(D:D,Lig_max,1),0)-Lig_min+1&gt;0,MAX(MIN(Zr_min+MAX(INDEX(G:G,Lig_min,1):INDEX(G:G,Lig_max,1))/MAX(MAX(INDEX(G:G,Lig_min,1):INDEX(G:G,Lig_max,1)),Max_fc_pour_Zrmax)*(Zr_max-Zr_min),Zr_max),Ze+0.001),MAX(MIN(Zr_min+G196/MAX(MAX(INDEX(G:G,Lig_min,1):INDEX(G:G,Lig_max,1)),Max_fc_pour_Zrmax)*(Zr_max-Zr_min),Zr_max),Ze+0.001))</f>
        <v>595.55606968994</v>
      </c>
      <c r="Q196" s="35">
        <f ca="1">IF(Z_sol&gt;0,Z_sol-P196,0.1)</f>
        <v>18.318481374494</v>
      </c>
      <c r="R196" s="35">
        <f ca="1">(Wfc-Wwp)*P196</f>
        <v>77.4222890596922</v>
      </c>
      <c r="S196" s="35">
        <f ca="1">(Wfc-Wwp)*Q196</f>
        <v>2.38140257868422</v>
      </c>
      <c r="T196" s="99">
        <f ca="1" t="shared" si="31"/>
        <v>0.609594540582537</v>
      </c>
      <c r="U196" s="99">
        <f ca="1" t="shared" si="32"/>
        <v>0.609594540582537</v>
      </c>
      <c r="V196" s="99">
        <f ca="1">IF(P196&gt;P195,IF(Q196&gt;1,MAX(AI195+(Wfc-Wwp)*(P196-P195)*AJ195/S195,0),AI195/P195*P196),MAX(AI195+(Wfc-Wwp)*(P196-P195)*AI195/R195,0))</f>
        <v>9.55090224700739</v>
      </c>
      <c r="W196" s="99">
        <f ca="1">IF(S196&gt;1,IF(P196&gt;P195,MAX(AJ195-(Wfc-Wwp)*(P196-P195)*AJ195/S195,0),MAX(AJ195-(Wfc-Wwp)*(P196-P195)*AI195/R195,0)),0)</f>
        <v>7.56281821221918e-7</v>
      </c>
      <c r="X196" s="99">
        <f ca="1">IF(AND(OR(AND(dec_vide_TAW&lt;0,V196&gt;R196*(p+0.04*(5-I195))),AND(dec_vide_TAW&gt;0,V196&gt;R196*dec_vide_TAW)),H196&gt;MAX(INDEX(H:H,Lig_min,1):INDEX(H:H,ROW(X196),1))*Kcbmax_stop_irrig*IF(ROW(X196)-lig_kcbmax&gt;0,1,0),MIN(INDEX(H:H,ROW(X196),1):INDEX(H:H,lig_kcbmax,1))&gt;Kcbmin_start_irrig),MIN(MAX(V196-E196*Irri_man-C196,0),Lame_max),0)</f>
        <v>0</v>
      </c>
      <c r="Y196" s="99">
        <f ca="1">MIN(MAX(T196-C196-IF(fw&gt;0,X196/fw*Irri_auto+E196/fw*Irri_man,0),0),TEW)</f>
        <v>0.609594540582537</v>
      </c>
      <c r="Z196" s="99">
        <f ca="1">MIN(MAX(U196-C196,0),TEW)</f>
        <v>0.609594540582537</v>
      </c>
      <c r="AA196" s="99">
        <f ca="1">MIN(MAX(V196-C196-(X196*Irri_auto+E196*Irri_man),0),R196)</f>
        <v>9.55090224700739</v>
      </c>
      <c r="AB196" s="99">
        <f ca="1">MIN(MAX(W196+MIN(V196-C196-(X196*Irri_auto+E196*Irri_man),0),0),S196)</f>
        <v>7.56281821221918e-7</v>
      </c>
      <c r="AC196" s="99">
        <f ca="1">-MIN(W196+MIN(V196-C196-(X196*Irri_auto+E196*Irri_man),0),0)</f>
        <v>0</v>
      </c>
      <c r="AD196" s="39">
        <f ca="1">IF(((R196-AA196)/P196-((Wfc-Wwp)*Ze-Y196)/Ze)/Wfc*DiffE&lt;0,MAX(((R196-AA196)/P196-((Wfc-Wwp)*Ze-Y196)/Ze)/Wfc*DiffE,(R196*Ze-((Wfc-Wwp)*Ze-Y196-AA196)*P196)/(P196+Ze)-AA196),MIN(((R196-AA196)/P196-((Wfc-Wwp)*Ze-Y196)/Ze)/Wfc*DiffE,(R196*Ze-((Wfc-Wwp)*Ze-Y196-AA196)*P196)/(P196+Ze)-AA196))</f>
        <v>-2.79004813976519e-8</v>
      </c>
      <c r="AE196" s="39">
        <f ca="1">IF(((R196-AA196)/P196-((Wfc-Wwp)*Ze-Z196)/Ze)/Wfc*DiffE&lt;0,MAX(((R196-AA196)/P196-((Wfc-Wwp)*Ze-Z196)/Ze)/Wfc*DiffE,(R196*Ze-((Wfc-Wwp)*Ze-Z196-AA196)*P196)/(P196+Ze)-AA196),MIN(((R196-AA196)/P196-((Wfc-Wwp)*Ze-Z196)/Ze)/Wfc*DiffE,(R196*Ze-((Wfc-Wwp)*Ze-Z196-AA196)*P196)/(P196+Ze)-AA196))</f>
        <v>-2.79004813976519e-8</v>
      </c>
      <c r="AF196" s="39">
        <f ca="1">IF(((S196-AB196)/Q196-(R196-AA196)/P196)/Wfc*DiffR&lt;0,MAX(((S196-AB196)/Q196-(R196-AA196)/P196)/Wfc*DiffR,(S196*P196-(R196-AA196-AB196)*Q196)/(P196+Q196)-AB196),MIN(((S196-AB196)/Q196-(R196-AA196)/P196)/Wfc*DiffR,(S196*P196-(R196-AA196-AB196)*Q196)/(P196+Q196)-AB196))</f>
        <v>4.00922689963499e-8</v>
      </c>
      <c r="AG196" s="99">
        <f ca="1">MIN(MAX(Y196+IF(AU196&gt;0,B196*AZ196/AU196,0)+BE196-AD196,0),TEW)</f>
        <v>1.9853102185436</v>
      </c>
      <c r="AH196" s="99">
        <f ca="1">MIN(MAX(Z196+IF(AV196&gt;0,B196*BA196/AV196,0)+BF196-AE196,0),TEW)</f>
        <v>1.9853102185436</v>
      </c>
      <c r="AI196" s="99">
        <f ca="1" t="shared" si="23"/>
        <v>12.6858022069151</v>
      </c>
      <c r="AJ196" s="99">
        <f ca="1" t="shared" si="24"/>
        <v>7.96374090218268e-7</v>
      </c>
      <c r="AK196" s="70">
        <f ca="1">IF((AU196+AV196)&gt;0,(TEW-(AG196*AU196+AH196*AV196)/(AU196+AV196))/TEW,(TEW-(AG196+AH196)/2)/TEW)</f>
        <v>0.940066106610004</v>
      </c>
      <c r="AL196" s="70">
        <f ca="1" t="shared" si="25"/>
        <v>0.83614793154547</v>
      </c>
      <c r="AM196" s="70">
        <f ca="1" t="shared" si="26"/>
        <v>0.999999665586114</v>
      </c>
      <c r="AN196" s="70">
        <f ca="1">Wwp+(Wfc-Wwp)*IF((AU196+AV196)&gt;0,(TEW-(AG196*AU196+AH196*AV196)/(AU196+AV196))/TEW,(TEW-(AG196+AH196)/2)/TEW)</f>
        <v>0.392208593859301</v>
      </c>
      <c r="AO196" s="70">
        <f ca="1">Wwp+(Wfc-Wwp)*(R196-AI196)/R196</f>
        <v>0.378699231100911</v>
      </c>
      <c r="AP196" s="70">
        <f ca="1">Wwp+(Wfc-Wwp)*(S196-AJ196)/S196</f>
        <v>0.399999956526195</v>
      </c>
      <c r="AQ196" s="70"/>
      <c r="AR196" s="70"/>
      <c r="AS196" s="70"/>
      <c r="AT196" s="70"/>
      <c r="AU196" s="70">
        <f ca="1">MIN((1-G196),fw)</f>
        <v>0</v>
      </c>
      <c r="AV196" s="70">
        <f ca="1" t="shared" si="27"/>
        <v>0</v>
      </c>
      <c r="AW196" s="70">
        <f ca="1">MIN((TEW-Y196)/(TEW-REW),1)</f>
        <v>0.124935917880569</v>
      </c>
      <c r="AX196" s="70">
        <f ca="1">MIN((TEW-Z196)/(TEW-REW),1)</f>
        <v>0.124935917880569</v>
      </c>
      <c r="AY196" s="70">
        <f ca="1">IF((AU196*(TEW-Y196))&gt;0,1/(1+((AV196*(TEW-Z196))/(AU196*(TEW-Y196)))),0)</f>
        <v>0</v>
      </c>
      <c r="AZ196" s="70">
        <f ca="1">MIN((AY196*AW196*(Kcmax-H196)),AU196*Kcmax)</f>
        <v>0</v>
      </c>
      <c r="BA196" s="70">
        <f ca="1">MIN(((1-AY196)*AX196*(Kcmax-H196)),AV196*Kcmax)</f>
        <v>0</v>
      </c>
      <c r="BB196" s="70">
        <f ca="1" t="shared" si="28"/>
        <v>0</v>
      </c>
      <c r="BC196" s="70">
        <f ca="1">MIN((R196-AA196)/(R196*(1-(p+0.04*(5-I195)))),1)</f>
        <v>1</v>
      </c>
      <c r="BD196" s="10">
        <f ca="1" t="shared" si="29"/>
        <v>3.1349</v>
      </c>
      <c r="BE196" s="70">
        <f ca="1">MIN(IF((1-AA196/R196)&gt;0,(1-Y196/TEW)/(1-AA196/R196)*(Ze/P196)^0.6,0),1)*BC196*H196*B196</f>
        <v>1.37571565006058</v>
      </c>
      <c r="BF196" s="70">
        <f ca="1">MIN(IF((1-AA196/R196)&gt;0,(1-Z196/TEW)/(1-AA196/R196)*(Ze/P196)^0.6,0),1)*BC196*H196*B196</f>
        <v>1.37571565006058</v>
      </c>
      <c r="BH196" s="10">
        <f ca="1" t="shared" si="30"/>
        <v>0.00345960417856003</v>
      </c>
      <c r="BI196" s="10">
        <f ca="1">IF(F196&lt;&gt;"",(Moy_Etobs-F196)^2,"")</f>
        <v>2.51173629661851</v>
      </c>
    </row>
    <row r="197" spans="1:61">
      <c r="A197" s="38">
        <v>39190</v>
      </c>
      <c r="B197" s="10">
        <v>2.767</v>
      </c>
      <c r="C197" s="39">
        <v>0</v>
      </c>
      <c r="D197">
        <v>0.929</v>
      </c>
      <c r="E197" s="39">
        <v>0</v>
      </c>
      <c r="F197" s="39">
        <v>2.8734678</v>
      </c>
      <c r="G197" s="10">
        <f ca="1">MIN(MAX(IF(AND(Durpla&gt;ROW()-MATCH(NDVImax,INDEX(D:D,Lig_min,1):INDEX(D:D,Lig_max,1),0)-Lig_min+1,ROW()-MATCH(NDVImax,INDEX(D:D,Lig_min,1):INDEX(D:D,Lig_max,1),0)-Lig_min+1&gt;0,D197*a_fc+b_fc&gt;fc_fin),NDVImax*a_fc+b_fc,D197*a_fc+b_fc),0),1)</f>
        <v>1</v>
      </c>
      <c r="H197" s="55">
        <f>MIN(MAX(D197*a_kcb+b_kcb,0),Kcmax)</f>
        <v>1.15</v>
      </c>
      <c r="I197" s="70">
        <f ca="1" t="shared" si="22"/>
        <v>3.18205</v>
      </c>
      <c r="O197" s="55"/>
      <c r="P197" s="35">
        <f ca="1">IF(ROW()-MATCH(NDVImax,INDEX(D:D,Lig_min,1):INDEX(D:D,Lig_max,1),0)-Lig_min+1&gt;0,MAX(MIN(Zr_min+MAX(INDEX(G:G,Lig_min,1):INDEX(G:G,Lig_max,1))/MAX(MAX(INDEX(G:G,Lig_min,1):INDEX(G:G,Lig_max,1)),Max_fc_pour_Zrmax)*(Zr_max-Zr_min),Zr_max),Ze+0.001),MAX(MIN(Zr_min+G197/MAX(MAX(INDEX(G:G,Lig_min,1):INDEX(G:G,Lig_max,1)),Max_fc_pour_Zrmax)*(Zr_max-Zr_min),Zr_max),Ze+0.001))</f>
        <v>595.55606968994</v>
      </c>
      <c r="Q197" s="35">
        <f ca="1">IF(Z_sol&gt;0,Z_sol-P197,0.1)</f>
        <v>18.318481374494</v>
      </c>
      <c r="R197" s="35">
        <f ca="1">(Wfc-Wwp)*P197</f>
        <v>77.4222890596922</v>
      </c>
      <c r="S197" s="35">
        <f ca="1">(Wfc-Wwp)*Q197</f>
        <v>2.38140257868422</v>
      </c>
      <c r="T197" s="99">
        <f ca="1" t="shared" si="31"/>
        <v>1.9853102185436</v>
      </c>
      <c r="U197" s="99">
        <f ca="1" t="shared" si="32"/>
        <v>1.9853102185436</v>
      </c>
      <c r="V197" s="99">
        <f ca="1">IF(P197&gt;P196,IF(Q197&gt;1,MAX(AI196+(Wfc-Wwp)*(P197-P196)*AJ196/S196,0),AI196/P196*P197),MAX(AI196+(Wfc-Wwp)*(P197-P196)*AI196/R196,0))</f>
        <v>12.6858022069151</v>
      </c>
      <c r="W197" s="99">
        <f ca="1">IF(S197&gt;1,IF(P197&gt;P196,MAX(AJ196-(Wfc-Wwp)*(P197-P196)*AJ196/S196,0),MAX(AJ196-(Wfc-Wwp)*(P197-P196)*AI196/R196,0)),0)</f>
        <v>7.96374090218268e-7</v>
      </c>
      <c r="X197" s="99">
        <f ca="1">IF(AND(OR(AND(dec_vide_TAW&lt;0,V197&gt;R197*(p+0.04*(5-I196))),AND(dec_vide_TAW&gt;0,V197&gt;R197*dec_vide_TAW)),H197&gt;MAX(INDEX(H:H,Lig_min,1):INDEX(H:H,ROW(X197),1))*Kcbmax_stop_irrig*IF(ROW(X197)-lig_kcbmax&gt;0,1,0),MIN(INDEX(H:H,ROW(X197),1):INDEX(H:H,lig_kcbmax,1))&gt;Kcbmin_start_irrig),MIN(MAX(V197-E197*Irri_man-C197,0),Lame_max),0)</f>
        <v>0</v>
      </c>
      <c r="Y197" s="99">
        <f ca="1">MIN(MAX(T197-C197-IF(fw&gt;0,X197/fw*Irri_auto+E197/fw*Irri_man,0),0),TEW)</f>
        <v>1.9853102185436</v>
      </c>
      <c r="Z197" s="99">
        <f ca="1">MIN(MAX(U197-C197,0),TEW)</f>
        <v>1.9853102185436</v>
      </c>
      <c r="AA197" s="99">
        <f ca="1">MIN(MAX(V197-C197-(X197*Irri_auto+E197*Irri_man),0),R197)</f>
        <v>12.6858022069151</v>
      </c>
      <c r="AB197" s="99">
        <f ca="1">MIN(MAX(W197+MIN(V197-C197-(X197*Irri_auto+E197*Irri_man),0),0),S197)</f>
        <v>7.96374090218268e-7</v>
      </c>
      <c r="AC197" s="99">
        <f ca="1">-MIN(W197+MIN(V197-C197-(X197*Irri_auto+E197*Irri_man),0),0)</f>
        <v>0</v>
      </c>
      <c r="AD197" s="39">
        <f ca="1">IF(((R197-AA197)/P197-((Wfc-Wwp)*Ze-Y197)/Ze)/Wfc*DiffE&lt;0,MAX(((R197-AA197)/P197-((Wfc-Wwp)*Ze-Y197)/Ze)/Wfc*DiffE,(R197*Ze-((Wfc-Wwp)*Ze-Y197-AA197)*P197)/(P197+Ze)-AA197),MIN(((R197-AA197)/P197-((Wfc-Wwp)*Ze-Y197)/Ze)/Wfc*DiffE,(R197*Ze-((Wfc-Wwp)*Ze-Y197-AA197)*P197)/(P197+Ze)-AA197))</f>
        <v>-1.35457178768503e-8</v>
      </c>
      <c r="AE197" s="39">
        <f ca="1">IF(((R197-AA197)/P197-((Wfc-Wwp)*Ze-Z197)/Ze)/Wfc*DiffE&lt;0,MAX(((R197-AA197)/P197-((Wfc-Wwp)*Ze-Z197)/Ze)/Wfc*DiffE,(R197*Ze-((Wfc-Wwp)*Ze-Z197-AA197)*P197)/(P197+Ze)-AA197),MIN(((R197-AA197)/P197-((Wfc-Wwp)*Ze-Z197)/Ze)/Wfc*DiffE,(R197*Ze-((Wfc-Wwp)*Ze-Z197-AA197)*P197)/(P197+Ze)-AA197))</f>
        <v>-1.35457178768503e-8</v>
      </c>
      <c r="AF197" s="39">
        <f ca="1">IF(((S197-AB197)/Q197-(R197-AA197)/P197)/Wfc*DiffR&lt;0,MAX(((S197-AB197)/Q197-(R197-AA197)/P197)/Wfc*DiffR,(S197*P197-(R197-AA197-AB197)*Q197)/(P197+Q197)-AB197),MIN(((S197-AB197)/Q197-(R197-AA197)/P197)/Wfc*DiffR,(S197*P197-(R197-AA197-AB197)*Q197)/(P197+Q197)-AB197))</f>
        <v>5.32518135632095e-8</v>
      </c>
      <c r="AG197" s="99">
        <f ca="1">MIN(MAX(Y197+IF(AU197&gt;0,B197*AZ197/AU197,0)+BE197-AD197,0),TEW)</f>
        <v>3.38739634960186</v>
      </c>
      <c r="AH197" s="99">
        <f ca="1">MIN(MAX(Z197+IF(AV197&gt;0,B197*BA197/AV197,0)+BF197-AE197,0),TEW)</f>
        <v>3.38739634960186</v>
      </c>
      <c r="AI197" s="99">
        <f ca="1" t="shared" si="23"/>
        <v>15.8678521536633</v>
      </c>
      <c r="AJ197" s="99">
        <f ca="1" t="shared" si="24"/>
        <v>8.49625903781478e-7</v>
      </c>
      <c r="AK197" s="70">
        <f ca="1">IF((AU197+AV197)&gt;0,(TEW-(AG197*AU197+AH197*AV197)/(AU197+AV197))/TEW,(TEW-(AG197+AH197)/2)/TEW)</f>
        <v>0.897738978125227</v>
      </c>
      <c r="AL197" s="70">
        <f ca="1" t="shared" si="25"/>
        <v>0.7950480107682</v>
      </c>
      <c r="AM197" s="70">
        <f ca="1" t="shared" si="26"/>
        <v>0.999999643224581</v>
      </c>
      <c r="AN197" s="70">
        <f ca="1">Wwp+(Wfc-Wwp)*IF((AU197+AV197)&gt;0,(TEW-(AG197*AU197+AH197*AV197)/(AU197+AV197))/TEW,(TEW-(AG197+AH197)/2)/TEW)</f>
        <v>0.38670606715628</v>
      </c>
      <c r="AO197" s="70">
        <f ca="1">Wwp+(Wfc-Wwp)*(R197-AI197)/R197</f>
        <v>0.373356241399866</v>
      </c>
      <c r="AP197" s="70">
        <f ca="1">Wwp+(Wfc-Wwp)*(S197-AJ197)/S197</f>
        <v>0.399999953619195</v>
      </c>
      <c r="AQ197" s="70"/>
      <c r="AR197" s="70"/>
      <c r="AS197" s="70"/>
      <c r="AT197" s="70"/>
      <c r="AU197" s="70">
        <f ca="1">MIN((1-G197),fw)</f>
        <v>0</v>
      </c>
      <c r="AV197" s="70">
        <f ca="1" t="shared" si="27"/>
        <v>0</v>
      </c>
      <c r="AW197" s="70">
        <f ca="1">MIN((TEW-Y197)/(TEW-REW),1)</f>
        <v>0.119649921949093</v>
      </c>
      <c r="AX197" s="70">
        <f ca="1">MIN((TEW-Z197)/(TEW-REW),1)</f>
        <v>0.119649921949093</v>
      </c>
      <c r="AY197" s="70">
        <f ca="1">IF((AU197*(TEW-Y197))&gt;0,1/(1+((AV197*(TEW-Z197))/(AU197*(TEW-Y197)))),0)</f>
        <v>0</v>
      </c>
      <c r="AZ197" s="70">
        <f ca="1">MIN((AY197*AW197*(Kcmax-H197)),AU197*Kcmax)</f>
        <v>0</v>
      </c>
      <c r="BA197" s="70">
        <f ca="1">MIN(((1-AY197)*AX197*(Kcmax-H197)),AV197*Kcmax)</f>
        <v>0</v>
      </c>
      <c r="BB197" s="70">
        <f ca="1" t="shared" si="28"/>
        <v>0</v>
      </c>
      <c r="BC197" s="70">
        <f ca="1">MIN((R197-AA197)/(R197*(1-(p+0.04*(5-I196)))),1)</f>
        <v>1</v>
      </c>
      <c r="BD197" s="10">
        <f ca="1" t="shared" si="29"/>
        <v>3.18205</v>
      </c>
      <c r="BE197" s="70">
        <f ca="1">MIN(IF((1-AA197/R197)&gt;0,(1-Y197/TEW)/(1-AA197/R197)*(Ze/P197)^0.6,0),1)*BC197*H197*B197</f>
        <v>1.40208611751254</v>
      </c>
      <c r="BF197" s="70">
        <f ca="1">MIN(IF((1-AA197/R197)&gt;0,(1-Z197/TEW)/(1-AA197/R197)*(Ze/P197)^0.6,0),1)*BC197*H197*B197</f>
        <v>1.40208611751254</v>
      </c>
      <c r="BH197" s="10">
        <f ca="1" t="shared" si="30"/>
        <v>0.09522297415684</v>
      </c>
      <c r="BI197" s="10">
        <f ca="1">IF(F197&lt;&gt;"",(Moy_Etobs-F197)^2,"")</f>
        <v>1.59920108915593</v>
      </c>
    </row>
    <row r="198" spans="1:61">
      <c r="A198" s="38">
        <v>39191</v>
      </c>
      <c r="B198" s="10">
        <v>3.6</v>
      </c>
      <c r="C198" s="39">
        <v>0.198</v>
      </c>
      <c r="D198">
        <v>0.932</v>
      </c>
      <c r="E198" s="39">
        <v>0</v>
      </c>
      <c r="F198" s="39">
        <v>4.028283</v>
      </c>
      <c r="G198" s="10">
        <f ca="1">MIN(MAX(IF(AND(Durpla&gt;ROW()-MATCH(NDVImax,INDEX(D:D,Lig_min,1):INDEX(D:D,Lig_max,1),0)-Lig_min+1,ROW()-MATCH(NDVImax,INDEX(D:D,Lig_min,1):INDEX(D:D,Lig_max,1),0)-Lig_min+1&gt;0,D198*a_fc+b_fc&gt;fc_fin),NDVImax*a_fc+b_fc,D198*a_fc+b_fc),0),1)</f>
        <v>1</v>
      </c>
      <c r="H198" s="55">
        <f>MIN(MAX(D198*a_kcb+b_kcb,0),Kcmax)</f>
        <v>1.15</v>
      </c>
      <c r="I198" s="70">
        <f ca="1" t="shared" si="22"/>
        <v>4.14</v>
      </c>
      <c r="O198" s="55"/>
      <c r="P198" s="35">
        <f ca="1">IF(ROW()-MATCH(NDVImax,INDEX(D:D,Lig_min,1):INDEX(D:D,Lig_max,1),0)-Lig_min+1&gt;0,MAX(MIN(Zr_min+MAX(INDEX(G:G,Lig_min,1):INDEX(G:G,Lig_max,1))/MAX(MAX(INDEX(G:G,Lig_min,1):INDEX(G:G,Lig_max,1)),Max_fc_pour_Zrmax)*(Zr_max-Zr_min),Zr_max),Ze+0.001),MAX(MIN(Zr_min+G198/MAX(MAX(INDEX(G:G,Lig_min,1):INDEX(G:G,Lig_max,1)),Max_fc_pour_Zrmax)*(Zr_max-Zr_min),Zr_max),Ze+0.001))</f>
        <v>595.55606968994</v>
      </c>
      <c r="Q198" s="35">
        <f ca="1">IF(Z_sol&gt;0,Z_sol-P198,0.1)</f>
        <v>18.318481374494</v>
      </c>
      <c r="R198" s="35">
        <f ca="1">(Wfc-Wwp)*P198</f>
        <v>77.4222890596922</v>
      </c>
      <c r="S198" s="35">
        <f ca="1">(Wfc-Wwp)*Q198</f>
        <v>2.38140257868422</v>
      </c>
      <c r="T198" s="99">
        <f ca="1" t="shared" si="31"/>
        <v>3.38739634960186</v>
      </c>
      <c r="U198" s="99">
        <f ca="1" t="shared" si="32"/>
        <v>3.38739634960186</v>
      </c>
      <c r="V198" s="99">
        <f ca="1">IF(P198&gt;P197,IF(Q198&gt;1,MAX(AI197+(Wfc-Wwp)*(P198-P197)*AJ197/S197,0),AI197/P197*P198),MAX(AI197+(Wfc-Wwp)*(P198-P197)*AI197/R197,0))</f>
        <v>15.8678521536633</v>
      </c>
      <c r="W198" s="99">
        <f ca="1">IF(S198&gt;1,IF(P198&gt;P197,MAX(AJ197-(Wfc-Wwp)*(P198-P197)*AJ197/S197,0),MAX(AJ197-(Wfc-Wwp)*(P198-P197)*AI197/R197,0)),0)</f>
        <v>8.49625903781478e-7</v>
      </c>
      <c r="X198" s="99">
        <f ca="1">IF(AND(OR(AND(dec_vide_TAW&lt;0,V198&gt;R198*(p+0.04*(5-I197))),AND(dec_vide_TAW&gt;0,V198&gt;R198*dec_vide_TAW)),H198&gt;MAX(INDEX(H:H,Lig_min,1):INDEX(H:H,ROW(X198),1))*Kcbmax_stop_irrig*IF(ROW(X198)-lig_kcbmax&gt;0,1,0),MIN(INDEX(H:H,ROW(X198),1):INDEX(H:H,lig_kcbmax,1))&gt;Kcbmin_start_irrig),MIN(MAX(V198-E198*Irri_man-C198,0),Lame_max),0)</f>
        <v>0</v>
      </c>
      <c r="Y198" s="99">
        <f ca="1">MIN(MAX(T198-C198-IF(fw&gt;0,X198/fw*Irri_auto+E198/fw*Irri_man,0),0),TEW)</f>
        <v>3.18939634960186</v>
      </c>
      <c r="Z198" s="99">
        <f ca="1">MIN(MAX(U198-C198,0),TEW)</f>
        <v>3.18939634960186</v>
      </c>
      <c r="AA198" s="99">
        <f ca="1">MIN(MAX(V198-C198-(X198*Irri_auto+E198*Irri_man),0),R198)</f>
        <v>15.6698521536633</v>
      </c>
      <c r="AB198" s="99">
        <f ca="1">MIN(MAX(W198+MIN(V198-C198-(X198*Irri_auto+E198*Irri_man),0),0),S198)</f>
        <v>8.49625903781478e-7</v>
      </c>
      <c r="AC198" s="99">
        <f ca="1">-MIN(W198+MIN(V198-C198-(X198*Irri_auto+E198*Irri_man),0),0)</f>
        <v>0</v>
      </c>
      <c r="AD198" s="39">
        <f ca="1">IF(((R198-AA198)/P198-((Wfc-Wwp)*Ze-Y198)/Ze)/Wfc*DiffE&lt;0,MAX(((R198-AA198)/P198-((Wfc-Wwp)*Ze-Y198)/Ze)/Wfc*DiffE,(R198*Ze-((Wfc-Wwp)*Ze-Y198-AA198)*P198)/(P198+Ze)-AA198),MIN(((R198-AA198)/P198-((Wfc-Wwp)*Ze-Y198)/Ze)/Wfc*DiffE,(R198*Ze-((Wfc-Wwp)*Ze-Y198-AA198)*P198)/(P198+Ze)-AA198))</f>
        <v>-1.99031350940453e-9</v>
      </c>
      <c r="AE198" s="39">
        <f ca="1">IF(((R198-AA198)/P198-((Wfc-Wwp)*Ze-Z198)/Ze)/Wfc*DiffE&lt;0,MAX(((R198-AA198)/P198-((Wfc-Wwp)*Ze-Z198)/Ze)/Wfc*DiffE,(R198*Ze-((Wfc-Wwp)*Ze-Z198-AA198)*P198)/(P198+Ze)-AA198),MIN(((R198-AA198)/P198-((Wfc-Wwp)*Ze-Z198)/Ze)/Wfc*DiffE,(R198*Ze-((Wfc-Wwp)*Ze-Z198-AA198)*P198)/(P198+Ze)-AA198))</f>
        <v>-1.99031350940453e-9</v>
      </c>
      <c r="AF198" s="39">
        <f ca="1">IF(((S198-AB198)/Q198-(R198-AA198)/P198)/Wfc*DiffR&lt;0,MAX(((S198-AB198)/Q198-(R198-AA198)/P198)/Wfc*DiffR,(S198*P198-(R198-AA198-AB198)*Q198)/(P198+Q198)-AB198),MIN(((S198-AB198)/Q198-(R198-AA198)/P198)/Wfc*DiffR,(S198*P198-(R198-AA198-AB198)*Q198)/(P198+Q198)-AB198))</f>
        <v>6.57781245494304e-8</v>
      </c>
      <c r="AG198" s="99">
        <f ca="1">MIN(MAX(Y198+IF(AU198&gt;0,B198*AZ198/AU198,0)+BE198-AD198,0),TEW)</f>
        <v>5.02778274018352</v>
      </c>
      <c r="AH198" s="99">
        <f ca="1">MIN(MAX(Z198+IF(AV198&gt;0,B198*BA198/AV198,0)+BF198-AE198,0),TEW)</f>
        <v>5.02778274018352</v>
      </c>
      <c r="AI198" s="99">
        <f ca="1" t="shared" si="23"/>
        <v>19.8098520878852</v>
      </c>
      <c r="AJ198" s="99">
        <f ca="1" t="shared" si="24"/>
        <v>9.15404028330908e-7</v>
      </c>
      <c r="AK198" s="70">
        <f ca="1">IF((AU198+AV198)&gt;0,(TEW-(AG198*AU198+AH198*AV198)/(AU198+AV198))/TEW,(TEW-(AG198+AH198)/2)/TEW)</f>
        <v>0.84821787954163</v>
      </c>
      <c r="AL198" s="70">
        <f ca="1" t="shared" si="25"/>
        <v>0.744132441335958</v>
      </c>
      <c r="AM198" s="70">
        <f ca="1" t="shared" si="26"/>
        <v>0.999999615602991</v>
      </c>
      <c r="AN198" s="70">
        <f ca="1">Wwp+(Wfc-Wwp)*IF((AU198+AV198)&gt;0,(TEW-(AG198*AU198+AH198*AV198)/(AU198+AV198))/TEW,(TEW-(AG198+AH198)/2)/TEW)</f>
        <v>0.380268324340412</v>
      </c>
      <c r="AO198" s="70">
        <f ca="1">Wwp+(Wfc-Wwp)*(R198-AI198)/R198</f>
        <v>0.366737217373675</v>
      </c>
      <c r="AP198" s="70">
        <f ca="1">Wwp+(Wfc-Wwp)*(S198-AJ198)/S198</f>
        <v>0.399999950028389</v>
      </c>
      <c r="AQ198" s="70"/>
      <c r="AR198" s="70"/>
      <c r="AS198" s="70"/>
      <c r="AT198" s="70"/>
      <c r="AU198" s="70">
        <f ca="1">MIN((1-G198),fw)</f>
        <v>0</v>
      </c>
      <c r="AV198" s="70">
        <f ca="1" t="shared" si="27"/>
        <v>0</v>
      </c>
      <c r="AW198" s="70">
        <f ca="1">MIN((TEW-Y198)/(TEW-REW),1)</f>
        <v>0.115023388653091</v>
      </c>
      <c r="AX198" s="70">
        <f ca="1">MIN((TEW-Z198)/(TEW-REW),1)</f>
        <v>0.115023388653091</v>
      </c>
      <c r="AY198" s="70">
        <f ca="1">IF((AU198*(TEW-Y198))&gt;0,1/(1+((AV198*(TEW-Z198))/(AU198*(TEW-Y198)))),0)</f>
        <v>0</v>
      </c>
      <c r="AZ198" s="70">
        <f ca="1">MIN((AY198*AW198*(Kcmax-H198)),AU198*Kcmax)</f>
        <v>0</v>
      </c>
      <c r="BA198" s="70">
        <f ca="1">MIN(((1-AY198)*AX198*(Kcmax-H198)),AV198*Kcmax)</f>
        <v>0</v>
      </c>
      <c r="BB198" s="70">
        <f ca="1" t="shared" si="28"/>
        <v>0</v>
      </c>
      <c r="BC198" s="70">
        <f ca="1">MIN((R198-AA198)/(R198*(1-(p+0.04*(5-I197)))),1)</f>
        <v>1</v>
      </c>
      <c r="BD198" s="10">
        <f ca="1" t="shared" si="29"/>
        <v>4.14</v>
      </c>
      <c r="BE198" s="70">
        <f ca="1">MIN(IF((1-AA198/R198)&gt;0,(1-Y198/TEW)/(1-AA198/R198)*(Ze/P198)^0.6,0),1)*BC198*H198*B198</f>
        <v>1.83838638859135</v>
      </c>
      <c r="BF198" s="70">
        <f ca="1">MIN(IF((1-AA198/R198)&gt;0,(1-Z198/TEW)/(1-AA198/R198)*(Ze/P198)^0.6,0),1)*BC198*H198*B198</f>
        <v>1.83838638859135</v>
      </c>
      <c r="BH198" s="10">
        <f ca="1" t="shared" si="30"/>
        <v>0.0124806880889999</v>
      </c>
      <c r="BI198" s="10">
        <f ca="1">IF(F198&lt;&gt;"",(Moy_Etobs-F198)^2,"")</f>
        <v>5.8535468161986</v>
      </c>
    </row>
    <row r="199" spans="1:61">
      <c r="A199" s="38">
        <v>39192</v>
      </c>
      <c r="B199" s="10">
        <v>3.74</v>
      </c>
      <c r="C199" s="39">
        <v>0</v>
      </c>
      <c r="D199">
        <v>0.935</v>
      </c>
      <c r="E199" s="39">
        <v>0</v>
      </c>
      <c r="F199" s="39">
        <v>3.6677826</v>
      </c>
      <c r="G199" s="10">
        <f ca="1">MIN(MAX(IF(AND(Durpla&gt;ROW()-MATCH(NDVImax,INDEX(D:D,Lig_min,1):INDEX(D:D,Lig_max,1),0)-Lig_min+1,ROW()-MATCH(NDVImax,INDEX(D:D,Lig_min,1):INDEX(D:D,Lig_max,1),0)-Lig_min+1&gt;0,D199*a_fc+b_fc&gt;fc_fin),NDVImax*a_fc+b_fc,D199*a_fc+b_fc),0),1)</f>
        <v>1</v>
      </c>
      <c r="H199" s="55">
        <f>MIN(MAX(D199*a_kcb+b_kcb,0),Kcmax)</f>
        <v>1.15</v>
      </c>
      <c r="I199" s="70">
        <f ca="1" t="shared" si="22"/>
        <v>4.301</v>
      </c>
      <c r="O199" s="55"/>
      <c r="P199" s="35">
        <f ca="1">IF(ROW()-MATCH(NDVImax,INDEX(D:D,Lig_min,1):INDEX(D:D,Lig_max,1),0)-Lig_min+1&gt;0,MAX(MIN(Zr_min+MAX(INDEX(G:G,Lig_min,1):INDEX(G:G,Lig_max,1))/MAX(MAX(INDEX(G:G,Lig_min,1):INDEX(G:G,Lig_max,1)),Max_fc_pour_Zrmax)*(Zr_max-Zr_min),Zr_max),Ze+0.001),MAX(MIN(Zr_min+G199/MAX(MAX(INDEX(G:G,Lig_min,1):INDEX(G:G,Lig_max,1)),Max_fc_pour_Zrmax)*(Zr_max-Zr_min),Zr_max),Ze+0.001))</f>
        <v>595.55606968994</v>
      </c>
      <c r="Q199" s="35">
        <f ca="1">IF(Z_sol&gt;0,Z_sol-P199,0.1)</f>
        <v>18.318481374494</v>
      </c>
      <c r="R199" s="35">
        <f ca="1">(Wfc-Wwp)*P199</f>
        <v>77.4222890596922</v>
      </c>
      <c r="S199" s="35">
        <f ca="1">(Wfc-Wwp)*Q199</f>
        <v>2.38140257868422</v>
      </c>
      <c r="T199" s="99">
        <f ca="1" t="shared" si="31"/>
        <v>5.02778274018352</v>
      </c>
      <c r="U199" s="99">
        <f ca="1" t="shared" si="32"/>
        <v>5.02778274018352</v>
      </c>
      <c r="V199" s="99">
        <f ca="1">IF(P199&gt;P198,IF(Q199&gt;1,MAX(AI198+(Wfc-Wwp)*(P199-P198)*AJ198/S198,0),AI198/P198*P199),MAX(AI198+(Wfc-Wwp)*(P199-P198)*AI198/R198,0))</f>
        <v>19.8098520878852</v>
      </c>
      <c r="W199" s="99">
        <f ca="1">IF(S199&gt;1,IF(P199&gt;P198,MAX(AJ198-(Wfc-Wwp)*(P199-P198)*AJ198/S198,0),MAX(AJ198-(Wfc-Wwp)*(P199-P198)*AI198/R198,0)),0)</f>
        <v>9.15404028330908e-7</v>
      </c>
      <c r="X199" s="99">
        <f ca="1">IF(AND(OR(AND(dec_vide_TAW&lt;0,V199&gt;R199*(p+0.04*(5-I198))),AND(dec_vide_TAW&gt;0,V199&gt;R199*dec_vide_TAW)),H199&gt;MAX(INDEX(H:H,Lig_min,1):INDEX(H:H,ROW(X199),1))*Kcbmax_stop_irrig*IF(ROW(X199)-lig_kcbmax&gt;0,1,0),MIN(INDEX(H:H,ROW(X199),1):INDEX(H:H,lig_kcbmax,1))&gt;Kcbmin_start_irrig),MIN(MAX(V199-E199*Irri_man-C199,0),Lame_max),0)</f>
        <v>0</v>
      </c>
      <c r="Y199" s="99">
        <f ca="1">MIN(MAX(T199-C199-IF(fw&gt;0,X199/fw*Irri_auto+E199/fw*Irri_man,0),0),TEW)</f>
        <v>5.02778274018352</v>
      </c>
      <c r="Z199" s="99">
        <f ca="1">MIN(MAX(U199-C199,0),TEW)</f>
        <v>5.02778274018352</v>
      </c>
      <c r="AA199" s="99">
        <f ca="1">MIN(MAX(V199-C199-(X199*Irri_auto+E199*Irri_man),0),R199)</f>
        <v>19.8098520878852</v>
      </c>
      <c r="AB199" s="99">
        <f ca="1">MIN(MAX(W199+MIN(V199-C199-(X199*Irri_auto+E199*Irri_man),0),0),S199)</f>
        <v>9.15404028330908e-7</v>
      </c>
      <c r="AC199" s="99">
        <f ca="1">-MIN(W199+MIN(V199-C199-(X199*Irri_auto+E199*Irri_man),0),0)</f>
        <v>0</v>
      </c>
      <c r="AD199" s="39">
        <f ca="1">IF(((R199-AA199)/P199-((Wfc-Wwp)*Ze-Y199)/Ze)/Wfc*DiffE&lt;0,MAX(((R199-AA199)/P199-((Wfc-Wwp)*Ze-Y199)/Ze)/Wfc*DiffE,(R199*Ze-((Wfc-Wwp)*Ze-Y199-AA199)*P199)/(P199+Ze)-AA199),MIN(((R199-AA199)/P199-((Wfc-Wwp)*Ze-Y199)/Ze)/Wfc*DiffE,(R199*Ze-((Wfc-Wwp)*Ze-Y199-AA199)*P199)/(P199+Ze)-AA199))</f>
        <v>1.73986982378569e-8</v>
      </c>
      <c r="AE199" s="39">
        <f ca="1">IF(((R199-AA199)/P199-((Wfc-Wwp)*Ze-Z199)/Ze)/Wfc*DiffE&lt;0,MAX(((R199-AA199)/P199-((Wfc-Wwp)*Ze-Z199)/Ze)/Wfc*DiffE,(R199*Ze-((Wfc-Wwp)*Ze-Z199-AA199)*P199)/(P199+Ze)-AA199),MIN(((R199-AA199)/P199-((Wfc-Wwp)*Ze-Z199)/Ze)/Wfc*DiffE,(R199*Ze-((Wfc-Wwp)*Ze-Z199-AA199)*P199)/(P199+Ze)-AA199))</f>
        <v>1.73986982378569e-8</v>
      </c>
      <c r="AF199" s="39">
        <f ca="1">IF(((S199-AB199)/Q199-(R199-AA199)/P199)/Wfc*DiffR&lt;0,MAX(((S199-AB199)/Q199-(R199-AA199)/P199)/Wfc*DiffR,(S199*P199-(R199-AA199-AB199)*Q199)/(P199+Q199)-AB199),MIN(((S199-AB199)/Q199-(R199-AA199)/P199)/Wfc*DiffR,(S199*P199-(R199-AA199-AB199)*Q199)/(P199+Q199)-AB199))</f>
        <v>8.31568316367857e-8</v>
      </c>
      <c r="AG199" s="99">
        <f ca="1">MIN(MAX(Y199+IF(AU199&gt;0,B199*AZ199/AU199,0)+BE199-AD199,0),TEW)</f>
        <v>6.9491882753586</v>
      </c>
      <c r="AH199" s="99">
        <f ca="1">MIN(MAX(Z199+IF(AV199&gt;0,B199*BA199/AV199,0)+BF199-AE199,0),TEW)</f>
        <v>6.9491882753586</v>
      </c>
      <c r="AI199" s="99">
        <f ca="1" t="shared" si="23"/>
        <v>24.1108520047284</v>
      </c>
      <c r="AJ199" s="99">
        <f ca="1" t="shared" si="24"/>
        <v>9.98560859967694e-7</v>
      </c>
      <c r="AK199" s="70">
        <f ca="1">IF((AU199+AV199)&gt;0,(TEW-(AG199*AU199+AH199*AV199)/(AU199+AV199))/TEW,(TEW-(AG199+AH199)/2)/TEW)</f>
        <v>0.790213184140118</v>
      </c>
      <c r="AL199" s="70">
        <f ca="1" t="shared" si="25"/>
        <v>0.68857996453529</v>
      </c>
      <c r="AM199" s="70">
        <f ca="1" t="shared" si="26"/>
        <v>0.999999580683725</v>
      </c>
      <c r="AN199" s="70">
        <f ca="1">Wwp+(Wfc-Wwp)*IF((AU199+AV199)&gt;0,(TEW-(AG199*AU199+AH199*AV199)/(AU199+AV199))/TEW,(TEW-(AG199+AH199)/2)/TEW)</f>
        <v>0.372727713938215</v>
      </c>
      <c r="AO199" s="70">
        <f ca="1">Wwp+(Wfc-Wwp)*(R199-AI199)/R199</f>
        <v>0.359515395389588</v>
      </c>
      <c r="AP199" s="70">
        <f ca="1">Wwp+(Wfc-Wwp)*(S199-AJ199)/S199</f>
        <v>0.399999945488884</v>
      </c>
      <c r="AQ199" s="70"/>
      <c r="AR199" s="70"/>
      <c r="AS199" s="70"/>
      <c r="AT199" s="70"/>
      <c r="AU199" s="70">
        <f ca="1">MIN((1-G199),fw)</f>
        <v>0</v>
      </c>
      <c r="AV199" s="70">
        <f ca="1" t="shared" si="27"/>
        <v>0</v>
      </c>
      <c r="AW199" s="70">
        <f ca="1">MIN((TEW-Y199)/(TEW-REW),1)</f>
        <v>0.107959644932806</v>
      </c>
      <c r="AX199" s="70">
        <f ca="1">MIN((TEW-Z199)/(TEW-REW),1)</f>
        <v>0.107959644932806</v>
      </c>
      <c r="AY199" s="70">
        <f ca="1">IF((AU199*(TEW-Y199))&gt;0,1/(1+((AV199*(TEW-Z199))/(AU199*(TEW-Y199)))),0)</f>
        <v>0</v>
      </c>
      <c r="AZ199" s="70">
        <f ca="1">MIN((AY199*AW199*(Kcmax-H199)),AU199*Kcmax)</f>
        <v>0</v>
      </c>
      <c r="BA199" s="70">
        <f ca="1">MIN(((1-AY199)*AX199*(Kcmax-H199)),AV199*Kcmax)</f>
        <v>0</v>
      </c>
      <c r="BB199" s="70">
        <f ca="1" t="shared" si="28"/>
        <v>0</v>
      </c>
      <c r="BC199" s="70">
        <f ca="1">MIN((R199-AA199)/(R199*(1-(p+0.04*(5-I198)))),1)</f>
        <v>1</v>
      </c>
      <c r="BD199" s="10">
        <f ca="1" t="shared" si="29"/>
        <v>4.301</v>
      </c>
      <c r="BE199" s="70">
        <f ca="1">MIN(IF((1-AA199/R199)&gt;0,(1-Y199/TEW)/(1-AA199/R199)*(Ze/P199)^0.6,0),1)*BC199*H199*B199</f>
        <v>1.92140555257378</v>
      </c>
      <c r="BF199" s="70">
        <f ca="1">MIN(IF((1-AA199/R199)&gt;0,(1-Z199/TEW)/(1-AA199/R199)*(Ze/P199)^0.6,0),1)*BC199*H199*B199</f>
        <v>1.92140555257378</v>
      </c>
      <c r="BH199" s="10">
        <f ca="1" t="shared" si="30"/>
        <v>0.40096427566276</v>
      </c>
      <c r="BI199" s="10">
        <f ca="1">IF(F199&lt;&gt;"",(Moy_Etobs-F199)^2,"")</f>
        <v>4.23911050091699</v>
      </c>
    </row>
    <row r="200" spans="1:61">
      <c r="A200" s="38">
        <v>39193</v>
      </c>
      <c r="B200" s="10">
        <v>3.844</v>
      </c>
      <c r="C200" s="39">
        <v>0</v>
      </c>
      <c r="D200">
        <v>0.931</v>
      </c>
      <c r="E200" s="39">
        <v>0</v>
      </c>
      <c r="F200" s="39">
        <v>4.4587296</v>
      </c>
      <c r="G200" s="10">
        <f ca="1">MIN(MAX(IF(AND(Durpla&gt;ROW()-MATCH(NDVImax,INDEX(D:D,Lig_min,1):INDEX(D:D,Lig_max,1),0)-Lig_min+1,ROW()-MATCH(NDVImax,INDEX(D:D,Lig_min,1):INDEX(D:D,Lig_max,1),0)-Lig_min+1&gt;0,D200*a_fc+b_fc&gt;fc_fin),NDVImax*a_fc+b_fc,D200*a_fc+b_fc),0),1)</f>
        <v>1</v>
      </c>
      <c r="H200" s="55">
        <f>MIN(MAX(D200*a_kcb+b_kcb,0),Kcmax)</f>
        <v>1.15</v>
      </c>
      <c r="I200" s="70">
        <f ca="1" t="shared" si="22"/>
        <v>4.4206</v>
      </c>
      <c r="O200" s="55"/>
      <c r="P200" s="35">
        <f ca="1">IF(ROW()-MATCH(NDVImax,INDEX(D:D,Lig_min,1):INDEX(D:D,Lig_max,1),0)-Lig_min+1&gt;0,MAX(MIN(Zr_min+MAX(INDEX(G:G,Lig_min,1):INDEX(G:G,Lig_max,1))/MAX(MAX(INDEX(G:G,Lig_min,1):INDEX(G:G,Lig_max,1)),Max_fc_pour_Zrmax)*(Zr_max-Zr_min),Zr_max),Ze+0.001),MAX(MIN(Zr_min+G200/MAX(MAX(INDEX(G:G,Lig_min,1):INDEX(G:G,Lig_max,1)),Max_fc_pour_Zrmax)*(Zr_max-Zr_min),Zr_max),Ze+0.001))</f>
        <v>595.55606968994</v>
      </c>
      <c r="Q200" s="35">
        <f ca="1">IF(Z_sol&gt;0,Z_sol-P200,0.1)</f>
        <v>18.318481374494</v>
      </c>
      <c r="R200" s="35">
        <f ca="1">(Wfc-Wwp)*P200</f>
        <v>77.4222890596922</v>
      </c>
      <c r="S200" s="35">
        <f ca="1">(Wfc-Wwp)*Q200</f>
        <v>2.38140257868422</v>
      </c>
      <c r="T200" s="99">
        <f ca="1" t="shared" si="31"/>
        <v>6.9491882753586</v>
      </c>
      <c r="U200" s="99">
        <f ca="1" t="shared" si="32"/>
        <v>6.9491882753586</v>
      </c>
      <c r="V200" s="99">
        <f ca="1">IF(P200&gt;P199,IF(Q200&gt;1,MAX(AI199+(Wfc-Wwp)*(P200-P199)*AJ199/S199,0),AI199/P199*P200),MAX(AI199+(Wfc-Wwp)*(P200-P199)*AI199/R199,0))</f>
        <v>24.1108520047284</v>
      </c>
      <c r="W200" s="99">
        <f ca="1">IF(S200&gt;1,IF(P200&gt;P199,MAX(AJ199-(Wfc-Wwp)*(P200-P199)*AJ199/S199,0),MAX(AJ199-(Wfc-Wwp)*(P200-P199)*AI199/R199,0)),0)</f>
        <v>9.98560859967694e-7</v>
      </c>
      <c r="X200" s="99">
        <f ca="1">IF(AND(OR(AND(dec_vide_TAW&lt;0,V200&gt;R200*(p+0.04*(5-I199))),AND(dec_vide_TAW&gt;0,V200&gt;R200*dec_vide_TAW)),H200&gt;MAX(INDEX(H:H,Lig_min,1):INDEX(H:H,ROW(X200),1))*Kcbmax_stop_irrig*IF(ROW(X200)-lig_kcbmax&gt;0,1,0),MIN(INDEX(H:H,ROW(X200),1):INDEX(H:H,lig_kcbmax,1))&gt;Kcbmin_start_irrig),MIN(MAX(V200-E200*Irri_man-C200,0),Lame_max),0)</f>
        <v>0</v>
      </c>
      <c r="Y200" s="99">
        <f ca="1">MIN(MAX(T200-C200-IF(fw&gt;0,X200/fw*Irri_auto+E200/fw*Irri_man,0),0),TEW)</f>
        <v>6.9491882753586</v>
      </c>
      <c r="Z200" s="99">
        <f ca="1">MIN(MAX(U200-C200,0),TEW)</f>
        <v>6.9491882753586</v>
      </c>
      <c r="AA200" s="99">
        <f ca="1">MIN(MAX(V200-C200-(X200*Irri_auto+E200*Irri_man),0),R200)</f>
        <v>24.1108520047284</v>
      </c>
      <c r="AB200" s="99">
        <f ca="1">MIN(MAX(W200+MIN(V200-C200-(X200*Irri_auto+E200*Irri_man),0),0),S200)</f>
        <v>9.98560859967694e-7</v>
      </c>
      <c r="AC200" s="99">
        <f ca="1">-MIN(W200+MIN(V200-C200-(X200*Irri_auto+E200*Irri_man),0),0)</f>
        <v>0</v>
      </c>
      <c r="AD200" s="39">
        <f ca="1">IF(((R200-AA200)/P200-((Wfc-Wwp)*Ze-Y200)/Ze)/Wfc*DiffE&lt;0,MAX(((R200-AA200)/P200-((Wfc-Wwp)*Ze-Y200)/Ze)/Wfc*DiffE,(R200*Ze-((Wfc-Wwp)*Ze-Y200-AA200)*P200)/(P200+Ze)-AA200),MIN(((R200-AA200)/P200-((Wfc-Wwp)*Ze-Y200)/Ze)/Wfc*DiffE,(R200*Ze-((Wfc-Wwp)*Ze-Y200-AA200)*P200)/(P200+Ze)-AA200))</f>
        <v>3.77722539811413e-8</v>
      </c>
      <c r="AE200" s="39">
        <f ca="1">IF(((R200-AA200)/P200-((Wfc-Wwp)*Ze-Z200)/Ze)/Wfc*DiffE&lt;0,MAX(((R200-AA200)/P200-((Wfc-Wwp)*Ze-Z200)/Ze)/Wfc*DiffE,(R200*Ze-((Wfc-Wwp)*Ze-Z200-AA200)*P200)/(P200+Ze)-AA200),MIN(((R200-AA200)/P200-((Wfc-Wwp)*Ze-Z200)/Ze)/Wfc*DiffE,(R200*Ze-((Wfc-Wwp)*Ze-Z200-AA200)*P200)/(P200+Ze)-AA200))</f>
        <v>3.77722539811413e-8</v>
      </c>
      <c r="AF200" s="39">
        <f ca="1">IF(((S200-AB200)/Q200-(R200-AA200)/P200)/Wfc*DiffR&lt;0,MAX(((S200-AB200)/Q200-(R200-AA200)/P200)/Wfc*DiffR,(S200*P200-(R200-AA200-AB200)*Q200)/(P200+Q200)-AB200),MIN(((S200-AB200)/Q200-(R200-AA200)/P200)/Wfc*DiffR,(S200*P200-(R200-AA200-AB200)*Q200)/(P200+Q200)-AB200))</f>
        <v>1.01211375248241e-7</v>
      </c>
      <c r="AG200" s="99">
        <f ca="1">MIN(MAX(Y200+IF(AU200&gt;0,B200*AZ200/AU200,0)+BE200-AD200,0),TEW)</f>
        <v>8.93740404964304</v>
      </c>
      <c r="AH200" s="99">
        <f ca="1">MIN(MAX(Z200+IF(AV200&gt;0,B200*BA200/AV200,0)+BF200-AE200,0),TEW)</f>
        <v>8.93740404964304</v>
      </c>
      <c r="AI200" s="99">
        <f ca="1" t="shared" si="23"/>
        <v>28.531451903517</v>
      </c>
      <c r="AJ200" s="99">
        <f ca="1" t="shared" si="24"/>
        <v>1.09977223521593e-6</v>
      </c>
      <c r="AK200" s="70">
        <f ca="1">IF((AU200+AV200)&gt;0,(TEW-(AG200*AU200+AH200*AV200)/(AU200+AV200))/TEW,(TEW-(AG200+AH200)/2)/TEW)</f>
        <v>0.730191575859833</v>
      </c>
      <c r="AL200" s="70">
        <f ca="1" t="shared" si="25"/>
        <v>0.631482713181996</v>
      </c>
      <c r="AM200" s="70">
        <f ca="1" t="shared" si="26"/>
        <v>0.999999538182983</v>
      </c>
      <c r="AN200" s="70">
        <f ca="1">Wwp+(Wfc-Wwp)*IF((AU200+AV200)&gt;0,(TEW-(AG200*AU200+AH200*AV200)/(AU200+AV200))/TEW,(TEW-(AG200+AH200)/2)/TEW)</f>
        <v>0.364924904861778</v>
      </c>
      <c r="AO200" s="70">
        <f ca="1">Wwp+(Wfc-Wwp)*(R200-AI200)/R200</f>
        <v>0.35209275271366</v>
      </c>
      <c r="AP200" s="70">
        <f ca="1">Wwp+(Wfc-Wwp)*(S200-AJ200)/S200</f>
        <v>0.399999939963788</v>
      </c>
      <c r="AQ200" s="70"/>
      <c r="AR200" s="70"/>
      <c r="AS200" s="70"/>
      <c r="AT200" s="70"/>
      <c r="AU200" s="70">
        <f ca="1">MIN((1-G200),fw)</f>
        <v>0</v>
      </c>
      <c r="AV200" s="70">
        <f ca="1" t="shared" si="27"/>
        <v>0</v>
      </c>
      <c r="AW200" s="70">
        <f ca="1">MIN((TEW-Y200)/(TEW-REW),1)</f>
        <v>0.100576911709396</v>
      </c>
      <c r="AX200" s="70">
        <f ca="1">MIN((TEW-Z200)/(TEW-REW),1)</f>
        <v>0.100576911709396</v>
      </c>
      <c r="AY200" s="70">
        <f ca="1">IF((AU200*(TEW-Y200))&gt;0,1/(1+((AV200*(TEW-Z200))/(AU200*(TEW-Y200)))),0)</f>
        <v>0</v>
      </c>
      <c r="AZ200" s="70">
        <f ca="1">MIN((AY200*AW200*(Kcmax-H200)),AU200*Kcmax)</f>
        <v>0</v>
      </c>
      <c r="BA200" s="70">
        <f ca="1">MIN(((1-AY200)*AX200*(Kcmax-H200)),AV200*Kcmax)</f>
        <v>0</v>
      </c>
      <c r="BB200" s="70">
        <f ca="1" t="shared" si="28"/>
        <v>0</v>
      </c>
      <c r="BC200" s="70">
        <f ca="1">MIN((R200-AA200)/(R200*(1-(p+0.04*(5-I199)))),1)</f>
        <v>1</v>
      </c>
      <c r="BD200" s="10">
        <f ca="1" t="shared" si="29"/>
        <v>4.4206</v>
      </c>
      <c r="BE200" s="70">
        <f ca="1">MIN(IF((1-AA200/R200)&gt;0,(1-Y200/TEW)/(1-AA200/R200)*(Ze/P200)^0.6,0),1)*BC200*H200*B200</f>
        <v>1.98821581205669</v>
      </c>
      <c r="BF200" s="70">
        <f ca="1">MIN(IF((1-AA200/R200)&gt;0,(1-Z200/TEW)/(1-AA200/R200)*(Ze/P200)^0.6,0),1)*BC200*H200*B200</f>
        <v>1.98821581205669</v>
      </c>
      <c r="BH200" s="10">
        <f ca="1" t="shared" si="30"/>
        <v>0.00145386639616003</v>
      </c>
      <c r="BI200" s="10">
        <f ca="1">IF(F200&lt;&gt;"",(Moy_Etobs-F200)^2,"")</f>
        <v>8.12168507660555</v>
      </c>
    </row>
    <row r="201" spans="1:61">
      <c r="A201" s="38">
        <v>39194</v>
      </c>
      <c r="B201" s="10">
        <v>3.683</v>
      </c>
      <c r="C201" s="39">
        <v>0</v>
      </c>
      <c r="D201">
        <v>0.928</v>
      </c>
      <c r="E201" s="39">
        <v>0</v>
      </c>
      <c r="F201" s="39">
        <v>3.9537738</v>
      </c>
      <c r="G201" s="10">
        <f ca="1">MIN(MAX(IF(AND(Durpla&gt;ROW()-MATCH(NDVImax,INDEX(D:D,Lig_min,1):INDEX(D:D,Lig_max,1),0)-Lig_min+1,ROW()-MATCH(NDVImax,INDEX(D:D,Lig_min,1):INDEX(D:D,Lig_max,1),0)-Lig_min+1&gt;0,D201*a_fc+b_fc&gt;fc_fin),NDVImax*a_fc+b_fc,D201*a_fc+b_fc),0),1)</f>
        <v>1</v>
      </c>
      <c r="H201" s="55">
        <f>MIN(MAX(D201*a_kcb+b_kcb,0),Kcmax)</f>
        <v>1.15</v>
      </c>
      <c r="I201" s="70">
        <f ca="1" t="shared" si="22"/>
        <v>4.23545</v>
      </c>
      <c r="O201" s="55"/>
      <c r="P201" s="35">
        <f ca="1">IF(ROW()-MATCH(NDVImax,INDEX(D:D,Lig_min,1):INDEX(D:D,Lig_max,1),0)-Lig_min+1&gt;0,MAX(MIN(Zr_min+MAX(INDEX(G:G,Lig_min,1):INDEX(G:G,Lig_max,1))/MAX(MAX(INDEX(G:G,Lig_min,1):INDEX(G:G,Lig_max,1)),Max_fc_pour_Zrmax)*(Zr_max-Zr_min),Zr_max),Ze+0.001),MAX(MIN(Zr_min+G201/MAX(MAX(INDEX(G:G,Lig_min,1):INDEX(G:G,Lig_max,1)),Max_fc_pour_Zrmax)*(Zr_max-Zr_min),Zr_max),Ze+0.001))</f>
        <v>595.55606968994</v>
      </c>
      <c r="Q201" s="35">
        <f ca="1">IF(Z_sol&gt;0,Z_sol-P201,0.1)</f>
        <v>18.318481374494</v>
      </c>
      <c r="R201" s="35">
        <f ca="1">(Wfc-Wwp)*P201</f>
        <v>77.4222890596922</v>
      </c>
      <c r="S201" s="35">
        <f ca="1">(Wfc-Wwp)*Q201</f>
        <v>2.38140257868422</v>
      </c>
      <c r="T201" s="99">
        <f ca="1" t="shared" si="31"/>
        <v>8.93740404964304</v>
      </c>
      <c r="U201" s="99">
        <f ca="1" t="shared" si="32"/>
        <v>8.93740404964304</v>
      </c>
      <c r="V201" s="99">
        <f ca="1">IF(P201&gt;P200,IF(Q201&gt;1,MAX(AI200+(Wfc-Wwp)*(P201-P200)*AJ200/S200,0),AI200/P200*P201),MAX(AI200+(Wfc-Wwp)*(P201-P200)*AI200/R200,0))</f>
        <v>28.531451903517</v>
      </c>
      <c r="W201" s="99">
        <f ca="1">IF(S201&gt;1,IF(P201&gt;P200,MAX(AJ200-(Wfc-Wwp)*(P201-P200)*AJ200/S200,0),MAX(AJ200-(Wfc-Wwp)*(P201-P200)*AI200/R200,0)),0)</f>
        <v>1.09977223521593e-6</v>
      </c>
      <c r="X201" s="99">
        <f ca="1">IF(AND(OR(AND(dec_vide_TAW&lt;0,V201&gt;R201*(p+0.04*(5-I200))),AND(dec_vide_TAW&gt;0,V201&gt;R201*dec_vide_TAW)),H201&gt;MAX(INDEX(H:H,Lig_min,1):INDEX(H:H,ROW(X201),1))*Kcbmax_stop_irrig*IF(ROW(X201)-lig_kcbmax&gt;0,1,0),MIN(INDEX(H:H,ROW(X201),1):INDEX(H:H,lig_kcbmax,1))&gt;Kcbmin_start_irrig),MIN(MAX(V201-E201*Irri_man-C201,0),Lame_max),0)</f>
        <v>0</v>
      </c>
      <c r="Y201" s="99">
        <f ca="1">MIN(MAX(T201-C201-IF(fw&gt;0,X201/fw*Irri_auto+E201/fw*Irri_man,0),0),TEW)</f>
        <v>8.93740404964304</v>
      </c>
      <c r="Z201" s="99">
        <f ca="1">MIN(MAX(U201-C201,0),TEW)</f>
        <v>8.93740404964304</v>
      </c>
      <c r="AA201" s="99">
        <f ca="1">MIN(MAX(V201-C201-(X201*Irri_auto+E201*Irri_man),0),R201)</f>
        <v>28.531451903517</v>
      </c>
      <c r="AB201" s="99">
        <f ca="1">MIN(MAX(W201+MIN(V201-C201-(X201*Irri_auto+E201*Irri_man),0),0),S201)</f>
        <v>1.09977223521593e-6</v>
      </c>
      <c r="AC201" s="99">
        <f ca="1">-MIN(W201+MIN(V201-C201-(X201*Irri_auto+E201*Irri_man),0),0)</f>
        <v>0</v>
      </c>
      <c r="AD201" s="39">
        <f ca="1">IF(((R201-AA201)/P201-((Wfc-Wwp)*Ze-Y201)/Ze)/Wfc*DiffE&lt;0,MAX(((R201-AA201)/P201-((Wfc-Wwp)*Ze-Y201)/Ze)/Wfc*DiffE,(R201*Ze-((Wfc-Wwp)*Ze-Y201-AA201)*P201)/(P201+Ze)-AA201),MIN(((R201-AA201)/P201-((Wfc-Wwp)*Ze-Y201)/Ze)/Wfc*DiffE,(R201*Ze-((Wfc-Wwp)*Ze-Y201-AA201)*P201)/(P201+Ze)-AA201))</f>
        <v>5.89799627770096e-8</v>
      </c>
      <c r="AE201" s="39">
        <f ca="1">IF(((R201-AA201)/P201-((Wfc-Wwp)*Ze-Z201)/Ze)/Wfc*DiffE&lt;0,MAX(((R201-AA201)/P201-((Wfc-Wwp)*Ze-Z201)/Ze)/Wfc*DiffE,(R201*Ze-((Wfc-Wwp)*Ze-Z201-AA201)*P201)/(P201+Ze)-AA201),MIN(((R201-AA201)/P201-((Wfc-Wwp)*Ze-Z201)/Ze)/Wfc*DiffE,(R201*Ze-((Wfc-Wwp)*Ze-Z201-AA201)*P201)/(P201+Ze)-AA201))</f>
        <v>5.89799627770096e-8</v>
      </c>
      <c r="AF201" s="39">
        <f ca="1">IF(((S201-AB201)/Q201-(R201-AA201)/P201)/Wfc*DiffR&lt;0,MAX(((S201-AB201)/Q201-(R201-AA201)/P201)/Wfc*DiffR,(S201*P201-(R201-AA201-AB201)*Q201)/(P201+Q201)-AB201),MIN(((S201-AB201)/Q201-(R201-AA201)/P201)/Wfc*DiffR,(S201*P201-(R201-AA201-AB201)*Q201)/(P201+Q201)-AB201))</f>
        <v>1.19767968125321e-7</v>
      </c>
      <c r="AG201" s="99">
        <f ca="1">MIN(MAX(Y201+IF(AU201&gt;0,B201*AZ201/AU201,0)+BE201-AD201,0),TEW)</f>
        <v>10.8568121024652</v>
      </c>
      <c r="AH201" s="99">
        <f ca="1">MIN(MAX(Z201+IF(AV201&gt;0,B201*BA201/AV201,0)+BF201-AE201,0),TEW)</f>
        <v>10.8568121024652</v>
      </c>
      <c r="AI201" s="99">
        <f ca="1" t="shared" si="23"/>
        <v>32.766901783749</v>
      </c>
      <c r="AJ201" s="99">
        <f ca="1" t="shared" si="24"/>
        <v>1.21954020334126e-6</v>
      </c>
      <c r="AK201" s="70">
        <f ca="1">IF((AU201+AV201)&gt;0,(TEW-(AG201*AU201+AH201*AV201)/(AU201+AV201))/TEW,(TEW-(AG201+AH201)/2)/TEW)</f>
        <v>0.672247181812371</v>
      </c>
      <c r="AL201" s="70">
        <f ca="1" t="shared" si="25"/>
        <v>0.576776892265664</v>
      </c>
      <c r="AM201" s="70">
        <f ca="1" t="shared" si="26"/>
        <v>0.999999487889946</v>
      </c>
      <c r="AN201" s="70">
        <f ca="1">Wwp+(Wfc-Wwp)*IF((AU201+AV201)&gt;0,(TEW-(AG201*AU201+AH201*AV201)/(AU201+AV201))/TEW,(TEW-(AG201+AH201)/2)/TEW)</f>
        <v>0.357392133635608</v>
      </c>
      <c r="AO201" s="70">
        <f ca="1">Wwp+(Wfc-Wwp)*(R201-AI201)/R201</f>
        <v>0.344980995994536</v>
      </c>
      <c r="AP201" s="70">
        <f ca="1">Wwp+(Wfc-Wwp)*(S201-AJ201)/S201</f>
        <v>0.399999933425693</v>
      </c>
      <c r="AQ201" s="70"/>
      <c r="AR201" s="70"/>
      <c r="AS201" s="70"/>
      <c r="AT201" s="70"/>
      <c r="AU201" s="70">
        <f ca="1">MIN((1-G201),fw)</f>
        <v>0</v>
      </c>
      <c r="AV201" s="70">
        <f ca="1" t="shared" si="27"/>
        <v>0</v>
      </c>
      <c r="AW201" s="70">
        <f ca="1">MIN((TEW-Y201)/(TEW-REW),1)</f>
        <v>0.0929374694451778</v>
      </c>
      <c r="AX201" s="70">
        <f ca="1">MIN((TEW-Z201)/(TEW-REW),1)</f>
        <v>0.0929374694451778</v>
      </c>
      <c r="AY201" s="70">
        <f ca="1">IF((AU201*(TEW-Y201))&gt;0,1/(1+((AV201*(TEW-Z201))/(AU201*(TEW-Y201)))),0)</f>
        <v>0</v>
      </c>
      <c r="AZ201" s="70">
        <f ca="1">MIN((AY201*AW201*(Kcmax-H201)),AU201*Kcmax)</f>
        <v>0</v>
      </c>
      <c r="BA201" s="70">
        <f ca="1">MIN(((1-AY201)*AX201*(Kcmax-H201)),AV201*Kcmax)</f>
        <v>0</v>
      </c>
      <c r="BB201" s="70">
        <f ca="1" t="shared" si="28"/>
        <v>0</v>
      </c>
      <c r="BC201" s="70">
        <f ca="1">MIN((R201-AA201)/(R201*(1-(p+0.04*(5-I200)))),1)</f>
        <v>1</v>
      </c>
      <c r="BD201" s="10">
        <f ca="1" t="shared" si="29"/>
        <v>4.23545</v>
      </c>
      <c r="BE201" s="70">
        <f ca="1">MIN(IF((1-AA201/R201)&gt;0,(1-Y201/TEW)/(1-AA201/R201)*(Ze/P201)^0.6,0),1)*BC201*H201*B201</f>
        <v>1.91940811180213</v>
      </c>
      <c r="BF201" s="70">
        <f ca="1">MIN(IF((1-AA201/R201)&gt;0,(1-Z201/TEW)/(1-AA201/R201)*(Ze/P201)^0.6,0),1)*BC201*H201*B201</f>
        <v>1.91940811180213</v>
      </c>
      <c r="BH201" s="10">
        <f ca="1" t="shared" si="30"/>
        <v>0.0793414816464396</v>
      </c>
      <c r="BI201" s="10">
        <f ca="1">IF(F201&lt;&gt;"",(Moy_Etobs-F201)^2,"")</f>
        <v>5.49856176624918</v>
      </c>
    </row>
    <row r="202" spans="1:61">
      <c r="A202" s="38">
        <v>39195</v>
      </c>
      <c r="B202" s="10">
        <v>4.171</v>
      </c>
      <c r="C202" s="39">
        <v>0</v>
      </c>
      <c r="D202">
        <v>0.924</v>
      </c>
      <c r="E202" s="39">
        <v>0</v>
      </c>
      <c r="F202" s="39">
        <v>4.07376</v>
      </c>
      <c r="G202" s="10">
        <f ca="1">MIN(MAX(IF(AND(Durpla&gt;ROW()-MATCH(NDVImax,INDEX(D:D,Lig_min,1):INDEX(D:D,Lig_max,1),0)-Lig_min+1,ROW()-MATCH(NDVImax,INDEX(D:D,Lig_min,1):INDEX(D:D,Lig_max,1),0)-Lig_min+1&gt;0,D202*a_fc+b_fc&gt;fc_fin),NDVImax*a_fc+b_fc,D202*a_fc+b_fc),0),1)</f>
        <v>1</v>
      </c>
      <c r="H202" s="55">
        <f>MIN(MAX(D202*a_kcb+b_kcb,0),Kcmax)</f>
        <v>1.15</v>
      </c>
      <c r="I202" s="70">
        <f ca="1" t="shared" si="22"/>
        <v>4.79665</v>
      </c>
      <c r="O202" s="55"/>
      <c r="P202" s="35">
        <f ca="1">IF(ROW()-MATCH(NDVImax,INDEX(D:D,Lig_min,1):INDEX(D:D,Lig_max,1),0)-Lig_min+1&gt;0,MAX(MIN(Zr_min+MAX(INDEX(G:G,Lig_min,1):INDEX(G:G,Lig_max,1))/MAX(MAX(INDEX(G:G,Lig_min,1):INDEX(G:G,Lig_max,1)),Max_fc_pour_Zrmax)*(Zr_max-Zr_min),Zr_max),Ze+0.001),MAX(MIN(Zr_min+G202/MAX(MAX(INDEX(G:G,Lig_min,1):INDEX(G:G,Lig_max,1)),Max_fc_pour_Zrmax)*(Zr_max-Zr_min),Zr_max),Ze+0.001))</f>
        <v>595.55606968994</v>
      </c>
      <c r="Q202" s="35">
        <f ca="1">IF(Z_sol&gt;0,Z_sol-P202,0.1)</f>
        <v>18.318481374494</v>
      </c>
      <c r="R202" s="35">
        <f ca="1">(Wfc-Wwp)*P202</f>
        <v>77.4222890596922</v>
      </c>
      <c r="S202" s="35">
        <f ca="1">(Wfc-Wwp)*Q202</f>
        <v>2.38140257868422</v>
      </c>
      <c r="T202" s="99">
        <f ca="1" t="shared" si="31"/>
        <v>10.8568121024652</v>
      </c>
      <c r="U202" s="99">
        <f ca="1" t="shared" si="32"/>
        <v>10.8568121024652</v>
      </c>
      <c r="V202" s="99">
        <f ca="1">IF(P202&gt;P201,IF(Q202&gt;1,MAX(AI201+(Wfc-Wwp)*(P202-P201)*AJ201/S201,0),AI201/P201*P202),MAX(AI201+(Wfc-Wwp)*(P202-P201)*AI201/R201,0))</f>
        <v>32.766901783749</v>
      </c>
      <c r="W202" s="99">
        <f ca="1">IF(S202&gt;1,IF(P202&gt;P201,MAX(AJ201-(Wfc-Wwp)*(P202-P201)*AJ201/S201,0),MAX(AJ201-(Wfc-Wwp)*(P202-P201)*AI201/R201,0)),0)</f>
        <v>1.21954020334126e-6</v>
      </c>
      <c r="X202" s="99">
        <f ca="1">IF(AND(OR(AND(dec_vide_TAW&lt;0,V202&gt;R202*(p+0.04*(5-I201))),AND(dec_vide_TAW&gt;0,V202&gt;R202*dec_vide_TAW)),H202&gt;MAX(INDEX(H:H,Lig_min,1):INDEX(H:H,ROW(X202),1))*Kcbmax_stop_irrig*IF(ROW(X202)-lig_kcbmax&gt;0,1,0),MIN(INDEX(H:H,ROW(X202),1):INDEX(H:H,lig_kcbmax,1))&gt;Kcbmin_start_irrig),MIN(MAX(V202-E202*Irri_man-C202,0),Lame_max),0)</f>
        <v>0</v>
      </c>
      <c r="Y202" s="99">
        <f ca="1">MIN(MAX(T202-C202-IF(fw&gt;0,X202/fw*Irri_auto+E202/fw*Irri_man,0),0),TEW)</f>
        <v>10.8568121024652</v>
      </c>
      <c r="Z202" s="99">
        <f ca="1">MIN(MAX(U202-C202,0),TEW)</f>
        <v>10.8568121024652</v>
      </c>
      <c r="AA202" s="99">
        <f ca="1">MIN(MAX(V202-C202-(X202*Irri_auto+E202*Irri_man),0),R202)</f>
        <v>32.766901783749</v>
      </c>
      <c r="AB202" s="99">
        <f ca="1">MIN(MAX(W202+MIN(V202-C202-(X202*Irri_auto+E202*Irri_man),0),0),S202)</f>
        <v>1.21954020334126e-6</v>
      </c>
      <c r="AC202" s="99">
        <f ca="1">-MIN(W202+MIN(V202-C202-(X202*Irri_auto+E202*Irri_man),0),0)</f>
        <v>0</v>
      </c>
      <c r="AD202" s="39">
        <f ca="1">IF(((R202-AA202)/P202-((Wfc-Wwp)*Ze-Y202)/Ze)/Wfc*DiffE&lt;0,MAX(((R202-AA202)/P202-((Wfc-Wwp)*Ze-Y202)/Ze)/Wfc*DiffE,(R202*Ze-((Wfc-Wwp)*Ze-Y202-AA202)*P202)/(P202+Ze)-AA202),MIN(((R202-AA202)/P202-((Wfc-Wwp)*Ze-Y202)/Ze)/Wfc*DiffE,(R202*Ze-((Wfc-Wwp)*Ze-Y202-AA202)*P202)/(P202+Ze)-AA202))</f>
        <v>7.95887320356449e-8</v>
      </c>
      <c r="AE202" s="39">
        <f ca="1">IF(((R202-AA202)/P202-((Wfc-Wwp)*Ze-Z202)/Ze)/Wfc*DiffE&lt;0,MAX(((R202-AA202)/P202-((Wfc-Wwp)*Ze-Z202)/Ze)/Wfc*DiffE,(R202*Ze-((Wfc-Wwp)*Ze-Z202-AA202)*P202)/(P202+Ze)-AA202),MIN(((R202-AA202)/P202-((Wfc-Wwp)*Ze-Z202)/Ze)/Wfc*DiffE,(R202*Ze-((Wfc-Wwp)*Ze-Z202-AA202)*P202)/(P202+Ze)-AA202))</f>
        <v>7.95887320356449e-8</v>
      </c>
      <c r="AF202" s="39">
        <f ca="1">IF(((S202-AB202)/Q202-(R202-AA202)/P202)/Wfc*DiffR&lt;0,MAX(((S202-AB202)/Q202-(R202-AA202)/P202)/Wfc*DiffR,(S202*P202-(R202-AA202-AB202)*Q202)/(P202+Q202)-AB202),MIN(((S202-AB202)/Q202-(R202-AA202)/P202)/Wfc*DiffR,(S202*P202-(R202-AA202-AB202)*Q202)/(P202+Q202)-AB202))</f>
        <v>1.37547343577892e-7</v>
      </c>
      <c r="AG202" s="99">
        <f ca="1">MIN(MAX(Y202+IF(AU202&gt;0,B202*AZ202/AU202,0)+BE202-AD202,0),TEW)</f>
        <v>13.0478584618383</v>
      </c>
      <c r="AH202" s="99">
        <f ca="1">MIN(MAX(Z202+IF(AV202&gt;0,B202*BA202/AV202,0)+BF202-AE202,0),TEW)</f>
        <v>13.0478584618383</v>
      </c>
      <c r="AI202" s="99">
        <f ca="1" t="shared" si="23"/>
        <v>37.5635516462017</v>
      </c>
      <c r="AJ202" s="99">
        <f ca="1" t="shared" si="24"/>
        <v>1.35708754691915e-6</v>
      </c>
      <c r="AK202" s="70">
        <f ca="1">IF((AU202+AV202)&gt;0,(TEW-(AG202*AU202+AH202*AV202)/(AU202+AV202))/TEW,(TEW-(AG202+AH202)/2)/TEW)</f>
        <v>0.606102386057713</v>
      </c>
      <c r="AL202" s="70">
        <f ca="1" t="shared" si="25"/>
        <v>0.51482251296858</v>
      </c>
      <c r="AM202" s="70">
        <f ca="1" t="shared" si="26"/>
        <v>0.999999430130983</v>
      </c>
      <c r="AN202" s="70">
        <f ca="1">Wwp+(Wfc-Wwp)*IF((AU202+AV202)&gt;0,(TEW-(AG202*AU202+AH202*AV202)/(AU202+AV202))/TEW,(TEW-(AG202+AH202)/2)/TEW)</f>
        <v>0.348793310187503</v>
      </c>
      <c r="AO202" s="70">
        <f ca="1">Wwp+(Wfc-Wwp)*(R202-AI202)/R202</f>
        <v>0.336926926685915</v>
      </c>
      <c r="AP202" s="70">
        <f ca="1">Wwp+(Wfc-Wwp)*(S202-AJ202)/S202</f>
        <v>0.399999925917028</v>
      </c>
      <c r="AQ202" s="70"/>
      <c r="AR202" s="70"/>
      <c r="AS202" s="70"/>
      <c r="AT202" s="70"/>
      <c r="AU202" s="70">
        <f ca="1">MIN((1-G202),fw)</f>
        <v>0</v>
      </c>
      <c r="AV202" s="70">
        <f ca="1" t="shared" si="27"/>
        <v>0</v>
      </c>
      <c r="AW202" s="70">
        <f ca="1">MIN((TEW-Y202)/(TEW-REW),1)</f>
        <v>0.0855624112695696</v>
      </c>
      <c r="AX202" s="70">
        <f ca="1">MIN((TEW-Z202)/(TEW-REW),1)</f>
        <v>0.0855624112695696</v>
      </c>
      <c r="AY202" s="70">
        <f ca="1">IF((AU202*(TEW-Y202))&gt;0,1/(1+((AV202*(TEW-Z202))/(AU202*(TEW-Y202)))),0)</f>
        <v>0</v>
      </c>
      <c r="AZ202" s="70">
        <f ca="1">MIN((AY202*AW202*(Kcmax-H202)),AU202*Kcmax)</f>
        <v>0</v>
      </c>
      <c r="BA202" s="70">
        <f ca="1">MIN(((1-AY202)*AX202*(Kcmax-H202)),AV202*Kcmax)</f>
        <v>0</v>
      </c>
      <c r="BB202" s="70">
        <f ca="1" t="shared" si="28"/>
        <v>0</v>
      </c>
      <c r="BC202" s="70">
        <f ca="1">MIN((R202-AA202)/(R202*(1-(p+0.04*(5-I201)))),1)</f>
        <v>1</v>
      </c>
      <c r="BD202" s="10">
        <f ca="1" t="shared" si="29"/>
        <v>4.79665</v>
      </c>
      <c r="BE202" s="70">
        <f ca="1">MIN(IF((1-AA202/R202)&gt;0,(1-Y202/TEW)/(1-AA202/R202)*(Ze/P202)^0.6,0),1)*BC202*H202*B202</f>
        <v>2.19104643896179</v>
      </c>
      <c r="BF202" s="70">
        <f ca="1">MIN(IF((1-AA202/R202)&gt;0,(1-Z202/TEW)/(1-AA202/R202)*(Ze/P202)^0.6,0),1)*BC202*H202*B202</f>
        <v>2.19104643896179</v>
      </c>
      <c r="BH202" s="10">
        <f ca="1" t="shared" si="30"/>
        <v>0.522569952099999</v>
      </c>
      <c r="BI202" s="10">
        <f ca="1">IF(F202&lt;&gt;"",(Moy_Etobs-F202)^2,"")</f>
        <v>6.07567002974109</v>
      </c>
    </row>
    <row r="203" spans="1:61">
      <c r="A203" s="38">
        <v>39196</v>
      </c>
      <c r="B203" s="10">
        <v>4.232</v>
      </c>
      <c r="C203" s="39">
        <v>0</v>
      </c>
      <c r="D203">
        <v>0.92</v>
      </c>
      <c r="E203" s="39">
        <v>0</v>
      </c>
      <c r="F203" s="39">
        <v>4.2172218</v>
      </c>
      <c r="G203" s="10">
        <f ca="1">MIN(MAX(IF(AND(Durpla&gt;ROW()-MATCH(NDVImax,INDEX(D:D,Lig_min,1):INDEX(D:D,Lig_max,1),0)-Lig_min+1,ROW()-MATCH(NDVImax,INDEX(D:D,Lig_min,1):INDEX(D:D,Lig_max,1),0)-Lig_min+1&gt;0,D203*a_fc+b_fc&gt;fc_fin),NDVImax*a_fc+b_fc,D203*a_fc+b_fc),0),1)</f>
        <v>1</v>
      </c>
      <c r="H203" s="55">
        <f>MIN(MAX(D203*a_kcb+b_kcb,0),Kcmax)</f>
        <v>1.15</v>
      </c>
      <c r="I203" s="70">
        <f ca="1" t="shared" si="22"/>
        <v>4.8668</v>
      </c>
      <c r="O203" s="55"/>
      <c r="P203" s="35">
        <f ca="1">IF(ROW()-MATCH(NDVImax,INDEX(D:D,Lig_min,1):INDEX(D:D,Lig_max,1),0)-Lig_min+1&gt;0,MAX(MIN(Zr_min+MAX(INDEX(G:G,Lig_min,1):INDEX(G:G,Lig_max,1))/MAX(MAX(INDEX(G:G,Lig_min,1):INDEX(G:G,Lig_max,1)),Max_fc_pour_Zrmax)*(Zr_max-Zr_min),Zr_max),Ze+0.001),MAX(MIN(Zr_min+G203/MAX(MAX(INDEX(G:G,Lig_min,1):INDEX(G:G,Lig_max,1)),Max_fc_pour_Zrmax)*(Zr_max-Zr_min),Zr_max),Ze+0.001))</f>
        <v>595.55606968994</v>
      </c>
      <c r="Q203" s="35">
        <f ca="1">IF(Z_sol&gt;0,Z_sol-P203,0.1)</f>
        <v>18.318481374494</v>
      </c>
      <c r="R203" s="35">
        <f ca="1">(Wfc-Wwp)*P203</f>
        <v>77.4222890596922</v>
      </c>
      <c r="S203" s="35">
        <f ca="1">(Wfc-Wwp)*Q203</f>
        <v>2.38140257868422</v>
      </c>
      <c r="T203" s="99">
        <f ca="1" t="shared" si="31"/>
        <v>13.0478584618383</v>
      </c>
      <c r="U203" s="99">
        <f ca="1" t="shared" si="32"/>
        <v>13.0478584618383</v>
      </c>
      <c r="V203" s="99">
        <f ca="1">IF(P203&gt;P202,IF(Q203&gt;1,MAX(AI202+(Wfc-Wwp)*(P203-P202)*AJ202/S202,0),AI202/P202*P203),MAX(AI202+(Wfc-Wwp)*(P203-P202)*AI202/R202,0))</f>
        <v>37.5635516462017</v>
      </c>
      <c r="W203" s="99">
        <f ca="1">IF(S203&gt;1,IF(P203&gt;P202,MAX(AJ202-(Wfc-Wwp)*(P203-P202)*AJ202/S202,0),MAX(AJ202-(Wfc-Wwp)*(P203-P202)*AI202/R202,0)),0)</f>
        <v>1.35708754691915e-6</v>
      </c>
      <c r="X203" s="99">
        <f ca="1">IF(AND(OR(AND(dec_vide_TAW&lt;0,V203&gt;R203*(p+0.04*(5-I202))),AND(dec_vide_TAW&gt;0,V203&gt;R203*dec_vide_TAW)),H203&gt;MAX(INDEX(H:H,Lig_min,1):INDEX(H:H,ROW(X203),1))*Kcbmax_stop_irrig*IF(ROW(X203)-lig_kcbmax&gt;0,1,0),MIN(INDEX(H:H,ROW(X203),1):INDEX(H:H,lig_kcbmax,1))&gt;Kcbmin_start_irrig),MIN(MAX(V203-E203*Irri_man-C203,0),Lame_max),0)</f>
        <v>0</v>
      </c>
      <c r="Y203" s="99">
        <f ca="1">MIN(MAX(T203-C203-IF(fw&gt;0,X203/fw*Irri_auto+E203/fw*Irri_man,0),0),TEW)</f>
        <v>13.0478584618383</v>
      </c>
      <c r="Z203" s="99">
        <f ca="1">MIN(MAX(U203-C203,0),TEW)</f>
        <v>13.0478584618383</v>
      </c>
      <c r="AA203" s="99">
        <f ca="1">MIN(MAX(V203-C203-(X203*Irri_auto+E203*Irri_man),0),R203)</f>
        <v>37.5635516462017</v>
      </c>
      <c r="AB203" s="99">
        <f ca="1">MIN(MAX(W203+MIN(V203-C203-(X203*Irri_auto+E203*Irri_man),0),0),S203)</f>
        <v>1.35708754691915e-6</v>
      </c>
      <c r="AC203" s="99">
        <f ca="1">-MIN(W203+MIN(V203-C203-(X203*Irri_auto+E203*Irri_man),0),0)</f>
        <v>0</v>
      </c>
      <c r="AD203" s="39">
        <f ca="1">IF(((R203-AA203)/P203-((Wfc-Wwp)*Ze-Y203)/Ze)/Wfc*DiffE&lt;0,MAX(((R203-AA203)/P203-((Wfc-Wwp)*Ze-Y203)/Ze)/Wfc*DiffE,(R203*Ze-((Wfc-Wwp)*Ze-Y203-AA203)*P203)/(P203+Ze)-AA203),MIN(((R203-AA203)/P203-((Wfc-Wwp)*Ze-Y203)/Ze)/Wfc*DiffE,(R203*Ze-((Wfc-Wwp)*Ze-Y203-AA203)*P203)/(P203+Ze)-AA203))</f>
        <v>1.03274485951554e-7</v>
      </c>
      <c r="AE203" s="39">
        <f ca="1">IF(((R203-AA203)/P203-((Wfc-Wwp)*Ze-Z203)/Ze)/Wfc*DiffE&lt;0,MAX(((R203-AA203)/P203-((Wfc-Wwp)*Ze-Z203)/Ze)/Wfc*DiffE,(R203*Ze-((Wfc-Wwp)*Ze-Z203-AA203)*P203)/(P203+Ze)-AA203),MIN(((R203-AA203)/P203-((Wfc-Wwp)*Ze-Z203)/Ze)/Wfc*DiffE,(R203*Ze-((Wfc-Wwp)*Ze-Z203-AA203)*P203)/(P203+Ze)-AA203))</f>
        <v>1.03274485951554e-7</v>
      </c>
      <c r="AF203" s="39">
        <f ca="1">IF(((S203-AB203)/Q203-(R203-AA203)/P203)/Wfc*DiffR&lt;0,MAX(((S203-AB203)/Q203-(R203-AA203)/P203)/Wfc*DiffR,(S203*P203-(R203-AA203-AB203)*Q203)/(P203+Q203)-AB203),MIN(((S203-AB203)/Q203-(R203-AA203)/P203)/Wfc*DiffR,(S203*P203-(R203-AA203-AB203)*Q203)/(P203+Q203)-AB203))</f>
        <v>1.57682498077781e-7</v>
      </c>
      <c r="AG203" s="99">
        <f ca="1">MIN(MAX(Y203+IF(AU203&gt;0,B203*AZ203/AU203,0)+BE203-AD203,0),TEW)</f>
        <v>15.2934168797432</v>
      </c>
      <c r="AH203" s="99">
        <f ca="1">MIN(MAX(Z203+IF(AV203&gt;0,B203*BA203/AV203,0)+BF203-AE203,0),TEW)</f>
        <v>15.2934168797432</v>
      </c>
      <c r="AI203" s="99">
        <f ca="1" t="shared" si="23"/>
        <v>42.4303514885192</v>
      </c>
      <c r="AJ203" s="99">
        <f ca="1" t="shared" si="24"/>
        <v>1.51477004499693e-6</v>
      </c>
      <c r="AK203" s="70">
        <f ca="1">IF((AU203+AV203)&gt;0,(TEW-(AG203*AU203+AH203*AV203)/(AU203+AV203))/TEW,(TEW-(AG203+AH203)/2)/TEW)</f>
        <v>0.538311943253034</v>
      </c>
      <c r="AL203" s="70">
        <f ca="1" t="shared" si="25"/>
        <v>0.451962064105266</v>
      </c>
      <c r="AM203" s="70">
        <f ca="1" t="shared" si="26"/>
        <v>0.999999363916854</v>
      </c>
      <c r="AN203" s="70">
        <f ca="1">Wwp+(Wfc-Wwp)*IF((AU203+AV203)&gt;0,(TEW-(AG203*AU203+AH203*AV203)/(AU203+AV203))/TEW,(TEW-(AG203+AH203)/2)/TEW)</f>
        <v>0.339980552622894</v>
      </c>
      <c r="AO203" s="70">
        <f ca="1">Wwp+(Wfc-Wwp)*(R203-AI203)/R203</f>
        <v>0.328755068333685</v>
      </c>
      <c r="AP203" s="70">
        <f ca="1">Wwp+(Wfc-Wwp)*(S203-AJ203)/S203</f>
        <v>0.399999917309191</v>
      </c>
      <c r="AQ203" s="70"/>
      <c r="AR203" s="70"/>
      <c r="AS203" s="70"/>
      <c r="AT203" s="70"/>
      <c r="AU203" s="70">
        <f ca="1">MIN((1-G203),fw)</f>
        <v>0</v>
      </c>
      <c r="AV203" s="70">
        <f ca="1" t="shared" si="27"/>
        <v>0</v>
      </c>
      <c r="AW203" s="70">
        <f ca="1">MIN((TEW-Y203)/(TEW-REW),1)</f>
        <v>0.0771436207252288</v>
      </c>
      <c r="AX203" s="70">
        <f ca="1">MIN((TEW-Z203)/(TEW-REW),1)</f>
        <v>0.0771436207252288</v>
      </c>
      <c r="AY203" s="70">
        <f ca="1">IF((AU203*(TEW-Y203))&gt;0,1/(1+((AV203*(TEW-Z203))/(AU203*(TEW-Y203)))),0)</f>
        <v>0</v>
      </c>
      <c r="AZ203" s="70">
        <f ca="1">MIN((AY203*AW203*(Kcmax-H203)),AU203*Kcmax)</f>
        <v>0</v>
      </c>
      <c r="BA203" s="70">
        <f ca="1">MIN(((1-AY203)*AX203*(Kcmax-H203)),AV203*Kcmax)</f>
        <v>0</v>
      </c>
      <c r="BB203" s="70">
        <f ca="1" t="shared" si="28"/>
        <v>0</v>
      </c>
      <c r="BC203" s="70">
        <f ca="1">MIN((R203-AA203)/(R203*(1-(p+0.04*(5-I202)))),1)</f>
        <v>1</v>
      </c>
      <c r="BD203" s="10">
        <f ca="1" t="shared" si="29"/>
        <v>4.8668</v>
      </c>
      <c r="BE203" s="70">
        <f ca="1">MIN(IF((1-AA203/R203)&gt;0,(1-Y203/TEW)/(1-AA203/R203)*(Ze/P203)^0.6,0),1)*BC203*H203*B203</f>
        <v>2.24555852117947</v>
      </c>
      <c r="BF203" s="70">
        <f ca="1">MIN(IF((1-AA203/R203)&gt;0,(1-Z203/TEW)/(1-AA203/R203)*(Ze/P203)^0.6,0),1)*BC203*H203*B203</f>
        <v>2.24555852117947</v>
      </c>
      <c r="BH203" s="10">
        <f ca="1" t="shared" si="30"/>
        <v>0.42195183791524</v>
      </c>
      <c r="BI203" s="10">
        <f ca="1">IF(F203&lt;&gt;"",(Moy_Etobs-F203)^2,"")</f>
        <v>6.80348569206389</v>
      </c>
    </row>
    <row r="204" spans="1:61">
      <c r="A204" s="38">
        <v>39197</v>
      </c>
      <c r="B204" s="10">
        <v>1.915</v>
      </c>
      <c r="C204" s="39">
        <v>0</v>
      </c>
      <c r="D204">
        <v>0.917</v>
      </c>
      <c r="E204" s="39">
        <v>0</v>
      </c>
      <c r="F204" s="39">
        <v>1.88631</v>
      </c>
      <c r="G204" s="10">
        <f ca="1">MIN(MAX(IF(AND(Durpla&gt;ROW()-MATCH(NDVImax,INDEX(D:D,Lig_min,1):INDEX(D:D,Lig_max,1),0)-Lig_min+1,ROW()-MATCH(NDVImax,INDEX(D:D,Lig_min,1):INDEX(D:D,Lig_max,1),0)-Lig_min+1&gt;0,D204*a_fc+b_fc&gt;fc_fin),NDVImax*a_fc+b_fc,D204*a_fc+b_fc),0),1)</f>
        <v>1</v>
      </c>
      <c r="H204" s="55">
        <f>MIN(MAX(D204*a_kcb+b_kcb,0),Kcmax)</f>
        <v>1.15</v>
      </c>
      <c r="I204" s="70">
        <f ca="1" t="shared" si="22"/>
        <v>2.20225</v>
      </c>
      <c r="O204" s="55"/>
      <c r="P204" s="35">
        <f ca="1">IF(ROW()-MATCH(NDVImax,INDEX(D:D,Lig_min,1):INDEX(D:D,Lig_max,1),0)-Lig_min+1&gt;0,MAX(MIN(Zr_min+MAX(INDEX(G:G,Lig_min,1):INDEX(G:G,Lig_max,1))/MAX(MAX(INDEX(G:G,Lig_min,1):INDEX(G:G,Lig_max,1)),Max_fc_pour_Zrmax)*(Zr_max-Zr_min),Zr_max),Ze+0.001),MAX(MIN(Zr_min+G204/MAX(MAX(INDEX(G:G,Lig_min,1):INDEX(G:G,Lig_max,1)),Max_fc_pour_Zrmax)*(Zr_max-Zr_min),Zr_max),Ze+0.001))</f>
        <v>595.55606968994</v>
      </c>
      <c r="Q204" s="35">
        <f ca="1">IF(Z_sol&gt;0,Z_sol-P204,0.1)</f>
        <v>18.318481374494</v>
      </c>
      <c r="R204" s="35">
        <f ca="1">(Wfc-Wwp)*P204</f>
        <v>77.4222890596922</v>
      </c>
      <c r="S204" s="35">
        <f ca="1">(Wfc-Wwp)*Q204</f>
        <v>2.38140257868422</v>
      </c>
      <c r="T204" s="99">
        <f ca="1" t="shared" si="31"/>
        <v>15.2934168797432</v>
      </c>
      <c r="U204" s="99">
        <f ca="1" t="shared" si="32"/>
        <v>15.2934168797432</v>
      </c>
      <c r="V204" s="99">
        <f ca="1">IF(P204&gt;P203,IF(Q204&gt;1,MAX(AI203+(Wfc-Wwp)*(P204-P203)*AJ203/S203,0),AI203/P203*P204),MAX(AI203+(Wfc-Wwp)*(P204-P203)*AI203/R203,0))</f>
        <v>42.4303514885192</v>
      </c>
      <c r="W204" s="99">
        <f ca="1">IF(S204&gt;1,IF(P204&gt;P203,MAX(AJ203-(Wfc-Wwp)*(P204-P203)*AJ203/S203,0),MAX(AJ203-(Wfc-Wwp)*(P204-P203)*AI203/R203,0)),0)</f>
        <v>1.51477004499693e-6</v>
      </c>
      <c r="X204" s="99">
        <f ca="1">IF(AND(OR(AND(dec_vide_TAW&lt;0,V204&gt;R204*(p+0.04*(5-I203))),AND(dec_vide_TAW&gt;0,V204&gt;R204*dec_vide_TAW)),H204&gt;MAX(INDEX(H:H,Lig_min,1):INDEX(H:H,ROW(X204),1))*Kcbmax_stop_irrig*IF(ROW(X204)-lig_kcbmax&gt;0,1,0),MIN(INDEX(H:H,ROW(X204),1):INDEX(H:H,lig_kcbmax,1))&gt;Kcbmin_start_irrig),MIN(MAX(V204-E204*Irri_man-C204,0),Lame_max),0)</f>
        <v>0</v>
      </c>
      <c r="Y204" s="99">
        <f ca="1">MIN(MAX(T204-C204-IF(fw&gt;0,X204/fw*Irri_auto+E204/fw*Irri_man,0),0),TEW)</f>
        <v>15.2934168797432</v>
      </c>
      <c r="Z204" s="99">
        <f ca="1">MIN(MAX(U204-C204,0),TEW)</f>
        <v>15.2934168797432</v>
      </c>
      <c r="AA204" s="99">
        <f ca="1">MIN(MAX(V204-C204-(X204*Irri_auto+E204*Irri_man),0),R204)</f>
        <v>42.4303514885192</v>
      </c>
      <c r="AB204" s="99">
        <f ca="1">MIN(MAX(W204+MIN(V204-C204-(X204*Irri_auto+E204*Irri_man),0),0),S204)</f>
        <v>1.51477004499693e-6</v>
      </c>
      <c r="AC204" s="99">
        <f ca="1">-MIN(W204+MIN(V204-C204-(X204*Irri_auto+E204*Irri_man),0),0)</f>
        <v>0</v>
      </c>
      <c r="AD204" s="39">
        <f ca="1">IF(((R204-AA204)/P204-((Wfc-Wwp)*Ze-Y204)/Ze)/Wfc*DiffE&lt;0,MAX(((R204-AA204)/P204-((Wfc-Wwp)*Ze-Y204)/Ze)/Wfc*DiffE,(R204*Ze-((Wfc-Wwp)*Ze-Y204-AA204)*P204)/(P204+Ze)-AA204),MIN(((R204-AA204)/P204-((Wfc-Wwp)*Ze-Y204)/Ze)/Wfc*DiffE,(R204*Ze-((Wfc-Wwp)*Ze-Y204-AA204)*P204)/(P204+Ze)-AA204))</f>
        <v>1.27756008429076e-7</v>
      </c>
      <c r="AE204" s="39">
        <f ca="1">IF(((R204-AA204)/P204-((Wfc-Wwp)*Ze-Z204)/Ze)/Wfc*DiffE&lt;0,MAX(((R204-AA204)/P204-((Wfc-Wwp)*Ze-Z204)/Ze)/Wfc*DiffE,(R204*Ze-((Wfc-Wwp)*Ze-Z204-AA204)*P204)/(P204+Ze)-AA204),MIN(((R204-AA204)/P204-((Wfc-Wwp)*Ze-Z204)/Ze)/Wfc*DiffE,(R204*Ze-((Wfc-Wwp)*Ze-Z204-AA204)*P204)/(P204+Ze)-AA204))</f>
        <v>1.27756008429076e-7</v>
      </c>
      <c r="AF204" s="39">
        <f ca="1">IF(((S204-AB204)/Q204-(R204-AA204)/P204)/Wfc*DiffR&lt;0,MAX(((S204-AB204)/Q204-(R204-AA204)/P204)/Wfc*DiffR,(S204*P204-(R204-AA204-AB204)*Q204)/(P204+Q204)-AB204),MIN(((S204-AB204)/Q204-(R204-AA204)/P204)/Wfc*DiffR,(S204*P204-(R204-AA204-AB204)*Q204)/(P204+Q204)-AB204))</f>
        <v>1.78112122438766e-7</v>
      </c>
      <c r="AG204" s="99">
        <f ca="1">MIN(MAX(Y204+IF(AU204&gt;0,B204*AZ204/AU204,0)+BE204-AD204,0),TEW)</f>
        <v>16.321411901188</v>
      </c>
      <c r="AH204" s="99">
        <f ca="1">MIN(MAX(Z204+IF(AV204&gt;0,B204*BA204/AV204,0)+BF204-AE204,0),TEW)</f>
        <v>16.321411901188</v>
      </c>
      <c r="AI204" s="99">
        <f ca="1" t="shared" si="23"/>
        <v>44.632601310407</v>
      </c>
      <c r="AJ204" s="99">
        <f ca="1" t="shared" si="24"/>
        <v>1.69288216743569e-6</v>
      </c>
      <c r="AK204" s="70">
        <f ca="1">IF((AU204+AV204)&gt;0,(TEW-(AG204*AU204+AH204*AV204)/(AU204+AV204))/TEW,(TEW-(AG204+AH204)/2)/TEW)</f>
        <v>0.507278131284889</v>
      </c>
      <c r="AL204" s="70">
        <f ca="1" t="shared" si="25"/>
        <v>0.423517415301483</v>
      </c>
      <c r="AM204" s="70">
        <f ca="1" t="shared" si="26"/>
        <v>0.999999289123904</v>
      </c>
      <c r="AN204" s="70">
        <f ca="1">Wwp+(Wfc-Wwp)*IF((AU204+AV204)&gt;0,(TEW-(AG204*AU204+AH204*AV204)/(AU204+AV204))/TEW,(TEW-(AG204+AH204)/2)/TEW)</f>
        <v>0.335946157067036</v>
      </c>
      <c r="AO204" s="70">
        <f ca="1">Wwp+(Wfc-Wwp)*(R204-AI204)/R204</f>
        <v>0.325057263989193</v>
      </c>
      <c r="AP204" s="70">
        <f ca="1">Wwp+(Wfc-Wwp)*(S204-AJ204)/S204</f>
        <v>0.399999907586108</v>
      </c>
      <c r="AQ204" s="70"/>
      <c r="AR204" s="70"/>
      <c r="AS204" s="70"/>
      <c r="AT204" s="70"/>
      <c r="AU204" s="70">
        <f ca="1">MIN((1-G204),fw)</f>
        <v>0</v>
      </c>
      <c r="AV204" s="70">
        <f ca="1" t="shared" si="27"/>
        <v>0</v>
      </c>
      <c r="AW204" s="70">
        <f ca="1">MIN((TEW-Y204)/(TEW-REW),1)</f>
        <v>0.0685153751864932</v>
      </c>
      <c r="AX204" s="70">
        <f ca="1">MIN((TEW-Z204)/(TEW-REW),1)</f>
        <v>0.0685153751864932</v>
      </c>
      <c r="AY204" s="70">
        <f ca="1">IF((AU204*(TEW-Y204))&gt;0,1/(1+((AV204*(TEW-Z204))/(AU204*(TEW-Y204)))),0)</f>
        <v>0</v>
      </c>
      <c r="AZ204" s="70">
        <f ca="1">MIN((AY204*AW204*(Kcmax-H204)),AU204*Kcmax)</f>
        <v>0</v>
      </c>
      <c r="BA204" s="70">
        <f ca="1">MIN(((1-AY204)*AX204*(Kcmax-H204)),AV204*Kcmax)</f>
        <v>0</v>
      </c>
      <c r="BB204" s="70">
        <f ca="1" t="shared" si="28"/>
        <v>0</v>
      </c>
      <c r="BC204" s="70">
        <f ca="1">MIN((R204-AA204)/(R204*(1-(p+0.04*(5-I203)))),1)</f>
        <v>1</v>
      </c>
      <c r="BD204" s="10">
        <f ca="1" t="shared" si="29"/>
        <v>2.20225</v>
      </c>
      <c r="BE204" s="70">
        <f ca="1">MIN(IF((1-AA204/R204)&gt;0,(1-Y204/TEW)/(1-AA204/R204)*(Ze/P204)^0.6,0),1)*BC204*H204*B204</f>
        <v>1.02799514920081</v>
      </c>
      <c r="BF204" s="70">
        <f ca="1">MIN(IF((1-AA204/R204)&gt;0,(1-Z204/TEW)/(1-AA204/R204)*(Ze/P204)^0.6,0),1)*BC204*H204*B204</f>
        <v>1.02799514920081</v>
      </c>
      <c r="BH204" s="10">
        <f ca="1" t="shared" si="30"/>
        <v>0.0998180835999999</v>
      </c>
      <c r="BI204" s="10">
        <f ca="1">IF(F204&lt;&gt;"",(Moy_Etobs-F204)^2,"")</f>
        <v>0.0769715261208103</v>
      </c>
    </row>
    <row r="205" spans="1:61">
      <c r="A205" s="38">
        <v>39198</v>
      </c>
      <c r="B205" s="10">
        <v>3.149</v>
      </c>
      <c r="C205" s="39">
        <v>0</v>
      </c>
      <c r="D205">
        <v>0.913</v>
      </c>
      <c r="E205" s="39">
        <v>0</v>
      </c>
      <c r="F205" s="39">
        <v>3.098223</v>
      </c>
      <c r="G205" s="10">
        <f ca="1">MIN(MAX(IF(AND(Durpla&gt;ROW()-MATCH(NDVImax,INDEX(D:D,Lig_min,1):INDEX(D:D,Lig_max,1),0)-Lig_min+1,ROW()-MATCH(NDVImax,INDEX(D:D,Lig_min,1):INDEX(D:D,Lig_max,1),0)-Lig_min+1&gt;0,D205*a_fc+b_fc&gt;fc_fin),NDVImax*a_fc+b_fc,D205*a_fc+b_fc),0),1)</f>
        <v>1</v>
      </c>
      <c r="H205" s="55">
        <f>MIN(MAX(D205*a_kcb+b_kcb,0),Kcmax)</f>
        <v>1.14683428360585</v>
      </c>
      <c r="I205" s="70">
        <f ca="1" t="shared" si="22"/>
        <v>3.61138115907483</v>
      </c>
      <c r="O205" s="55"/>
      <c r="P205" s="35">
        <f ca="1">IF(ROW()-MATCH(NDVImax,INDEX(D:D,Lig_min,1):INDEX(D:D,Lig_max,1),0)-Lig_min+1&gt;0,MAX(MIN(Zr_min+MAX(INDEX(G:G,Lig_min,1):INDEX(G:G,Lig_max,1))/MAX(MAX(INDEX(G:G,Lig_min,1):INDEX(G:G,Lig_max,1)),Max_fc_pour_Zrmax)*(Zr_max-Zr_min),Zr_max),Ze+0.001),MAX(MIN(Zr_min+G205/MAX(MAX(INDEX(G:G,Lig_min,1):INDEX(G:G,Lig_max,1)),Max_fc_pour_Zrmax)*(Zr_max-Zr_min),Zr_max),Ze+0.001))</f>
        <v>595.55606968994</v>
      </c>
      <c r="Q205" s="35">
        <f ca="1">IF(Z_sol&gt;0,Z_sol-P205,0.1)</f>
        <v>18.318481374494</v>
      </c>
      <c r="R205" s="35">
        <f ca="1">(Wfc-Wwp)*P205</f>
        <v>77.4222890596922</v>
      </c>
      <c r="S205" s="35">
        <f ca="1">(Wfc-Wwp)*Q205</f>
        <v>2.38140257868422</v>
      </c>
      <c r="T205" s="99">
        <f ca="1" t="shared" si="31"/>
        <v>16.321411901188</v>
      </c>
      <c r="U205" s="99">
        <f ca="1" t="shared" si="32"/>
        <v>16.321411901188</v>
      </c>
      <c r="V205" s="99">
        <f ca="1">IF(P205&gt;P204,IF(Q205&gt;1,MAX(AI204+(Wfc-Wwp)*(P205-P204)*AJ204/S204,0),AI204/P204*P205),MAX(AI204+(Wfc-Wwp)*(P205-P204)*AI204/R204,0))</f>
        <v>44.632601310407</v>
      </c>
      <c r="W205" s="99">
        <f ca="1">IF(S205&gt;1,IF(P205&gt;P204,MAX(AJ204-(Wfc-Wwp)*(P205-P204)*AJ204/S204,0),MAX(AJ204-(Wfc-Wwp)*(P205-P204)*AI204/R204,0)),0)</f>
        <v>1.69288216743569e-6</v>
      </c>
      <c r="X205" s="99">
        <f ca="1">IF(AND(OR(AND(dec_vide_TAW&lt;0,V205&gt;R205*(p+0.04*(5-I204))),AND(dec_vide_TAW&gt;0,V205&gt;R205*dec_vide_TAW)),H205&gt;MAX(INDEX(H:H,Lig_min,1):INDEX(H:H,ROW(X205),1))*Kcbmax_stop_irrig*IF(ROW(X205)-lig_kcbmax&gt;0,1,0),MIN(INDEX(H:H,ROW(X205),1):INDEX(H:H,lig_kcbmax,1))&gt;Kcbmin_start_irrig),MIN(MAX(V205-E205*Irri_man-C205,0),Lame_max),0)</f>
        <v>0</v>
      </c>
      <c r="Y205" s="99">
        <f ca="1">MIN(MAX(T205-C205-IF(fw&gt;0,X205/fw*Irri_auto+E205/fw*Irri_man,0),0),TEW)</f>
        <v>16.321411901188</v>
      </c>
      <c r="Z205" s="99">
        <f ca="1">MIN(MAX(U205-C205,0),TEW)</f>
        <v>16.321411901188</v>
      </c>
      <c r="AA205" s="99">
        <f ca="1">MIN(MAX(V205-C205-(X205*Irri_auto+E205*Irri_man),0),R205)</f>
        <v>44.632601310407</v>
      </c>
      <c r="AB205" s="99">
        <f ca="1">MIN(MAX(W205+MIN(V205-C205-(X205*Irri_auto+E205*Irri_man),0),0),S205)</f>
        <v>1.69288216743569e-6</v>
      </c>
      <c r="AC205" s="99">
        <f ca="1">-MIN(W205+MIN(V205-C205-(X205*Irri_auto+E205*Irri_man),0),0)</f>
        <v>0</v>
      </c>
      <c r="AD205" s="39">
        <f ca="1">IF(((R205-AA205)/P205-((Wfc-Wwp)*Ze-Y205)/Ze)/Wfc*DiffE&lt;0,MAX(((R205-AA205)/P205-((Wfc-Wwp)*Ze-Y205)/Ze)/Wfc*DiffE,(R205*Ze-((Wfc-Wwp)*Ze-Y205-AA205)*P205)/(P205+Ze)-AA205),MIN(((R205-AA205)/P205-((Wfc-Wwp)*Ze-Y205)/Ze)/Wfc*DiffE,(R205*Ze-((Wfc-Wwp)*Ze-Y205-AA205)*P205)/(P205+Ze)-AA205))</f>
        <v>1.39071397996743e-7</v>
      </c>
      <c r="AE205" s="39">
        <f ca="1">IF(((R205-AA205)/P205-((Wfc-Wwp)*Ze-Z205)/Ze)/Wfc*DiffE&lt;0,MAX(((R205-AA205)/P205-((Wfc-Wwp)*Ze-Z205)/Ze)/Wfc*DiffE,(R205*Ze-((Wfc-Wwp)*Ze-Z205-AA205)*P205)/(P205+Ze)-AA205),MIN(((R205-AA205)/P205-((Wfc-Wwp)*Ze-Z205)/Ze)/Wfc*DiffE,(R205*Ze-((Wfc-Wwp)*Ze-Z205-AA205)*P205)/(P205+Ze)-AA205))</f>
        <v>1.39071397996743e-7</v>
      </c>
      <c r="AF205" s="39">
        <f ca="1">IF(((S205-AB205)/Q205-(R205-AA205)/P205)/Wfc*DiffR&lt;0,MAX(((S205-AB205)/Q205-(R205-AA205)/P205)/Wfc*DiffR,(S205*P205-(R205-AA205-AB205)*Q205)/(P205+Q205)-AB205),MIN(((S205-AB205)/Q205-(R205-AA205)/P205)/Wfc*DiffR,(S205*P205-(R205-AA205-AB205)*Q205)/(P205+Q205)-AB205))</f>
        <v>1.87356608992287e-7</v>
      </c>
      <c r="AG205" s="99">
        <f ca="1">MIN(MAX(Y205+IF(AU205&gt;0,B205*AZ205/AU205,0)+BE205-AD205,0),TEW)</f>
        <v>18.0166885261457</v>
      </c>
      <c r="AH205" s="99">
        <f ca="1">MIN(MAX(Z205+IF(AV205&gt;0,B205*BA205/AV205,0)+BF205-AE205,0),TEW)</f>
        <v>18.0166885261457</v>
      </c>
      <c r="AI205" s="99">
        <f ca="1" t="shared" si="23"/>
        <v>48.2439822821253</v>
      </c>
      <c r="AJ205" s="99">
        <f ca="1" t="shared" si="24"/>
        <v>1.88023877642798e-6</v>
      </c>
      <c r="AK205" s="70">
        <f ca="1">IF((AU205+AV205)&gt;0,(TEW-(AG205*AU205+AH205*AV205)/(AU205+AV205))/TEW,(TEW-(AG205+AH205)/2)/TEW)</f>
        <v>0.456099969022015</v>
      </c>
      <c r="AL205" s="70">
        <f ca="1" t="shared" si="25"/>
        <v>0.376872178954443</v>
      </c>
      <c r="AM205" s="70">
        <f ca="1" t="shared" si="26"/>
        <v>0.999999210449005</v>
      </c>
      <c r="AN205" s="70">
        <f ca="1">Wwp+(Wfc-Wwp)*IF((AU205+AV205)&gt;0,(TEW-(AG205*AU205+AH205*AV205)/(AU205+AV205))/TEW,(TEW-(AG205+AH205)/2)/TEW)</f>
        <v>0.329292995972862</v>
      </c>
      <c r="AO205" s="70">
        <f ca="1">Wwp+(Wfc-Wwp)*(R205-AI205)/R205</f>
        <v>0.318993383264078</v>
      </c>
      <c r="AP205" s="70">
        <f ca="1">Wwp+(Wfc-Wwp)*(S205-AJ205)/S205</f>
        <v>0.399999897358371</v>
      </c>
      <c r="AQ205" s="70"/>
      <c r="AR205" s="70"/>
      <c r="AS205" s="70"/>
      <c r="AT205" s="70"/>
      <c r="AU205" s="70">
        <f ca="1">MIN((1-G205),fw)</f>
        <v>0</v>
      </c>
      <c r="AV205" s="70">
        <f ca="1" t="shared" si="27"/>
        <v>0</v>
      </c>
      <c r="AW205" s="70">
        <f ca="1">MIN((TEW-Y205)/(TEW-REW),1)</f>
        <v>0.0645654474594298</v>
      </c>
      <c r="AX205" s="70">
        <f ca="1">MIN((TEW-Z205)/(TEW-REW),1)</f>
        <v>0.0645654474594298</v>
      </c>
      <c r="AY205" s="70">
        <f ca="1">IF((AU205*(TEW-Y205))&gt;0,1/(1+((AV205*(TEW-Z205))/(AU205*(TEW-Y205)))),0)</f>
        <v>0</v>
      </c>
      <c r="AZ205" s="70">
        <f ca="1">MIN((AY205*AW205*(Kcmax-H205)),AU205*Kcmax)</f>
        <v>0</v>
      </c>
      <c r="BA205" s="70">
        <f ca="1">MIN(((1-AY205)*AX205*(Kcmax-H205)),AV205*Kcmax)</f>
        <v>0</v>
      </c>
      <c r="BB205" s="70">
        <f ca="1" t="shared" si="28"/>
        <v>0</v>
      </c>
      <c r="BC205" s="70">
        <f ca="1">MIN((R205-AA205)/(R205*(1-(p+0.04*(5-I204)))),1)</f>
        <v>1</v>
      </c>
      <c r="BD205" s="10">
        <f ca="1" t="shared" si="29"/>
        <v>3.61138115907483</v>
      </c>
      <c r="BE205" s="70">
        <f ca="1">MIN(IF((1-AA205/R205)&gt;0,(1-Y205/TEW)/(1-AA205/R205)*(Ze/P205)^0.6,0),1)*BC205*H205*B205</f>
        <v>1.6952767640291</v>
      </c>
      <c r="BF205" s="70">
        <f ca="1">MIN(IF((1-AA205/R205)&gt;0,(1-Z205/TEW)/(1-AA205/R205)*(Ze/P205)^0.6,0),1)*BC205*H205*B205</f>
        <v>1.6952767640291</v>
      </c>
      <c r="BH205" s="10">
        <f ca="1" t="shared" si="30"/>
        <v>0.263331296225069</v>
      </c>
      <c r="BI205" s="10">
        <f ca="1">IF(F205&lt;&gt;"",(Moy_Etobs-F205)^2,"")</f>
        <v>2.2181646955884</v>
      </c>
    </row>
    <row r="206" spans="1:61">
      <c r="A206" s="38">
        <v>39199</v>
      </c>
      <c r="B206" s="10">
        <v>3.293</v>
      </c>
      <c r="C206" s="39">
        <v>0</v>
      </c>
      <c r="D206">
        <v>0.909</v>
      </c>
      <c r="E206" s="39">
        <v>0</v>
      </c>
      <c r="F206" s="10">
        <v>3.0121092</v>
      </c>
      <c r="G206" s="10">
        <f ca="1">MIN(MAX(IF(AND(Durpla&gt;ROW()-MATCH(NDVImax,INDEX(D:D,Lig_min,1):INDEX(D:D,Lig_max,1),0)-Lig_min+1,ROW()-MATCH(NDVImax,INDEX(D:D,Lig_min,1):INDEX(D:D,Lig_max,1),0)-Lig_min+1&gt;0,D206*a_fc+b_fc&gt;fc_fin),NDVImax*a_fc+b_fc,D206*a_fc+b_fc),0),1)</f>
        <v>1</v>
      </c>
      <c r="H206" s="55">
        <f>MIN(MAX(D206*a_kcb+b_kcb,0),Kcmax)</f>
        <v>1.14082204620818</v>
      </c>
      <c r="I206" s="70">
        <f ca="1" t="shared" si="22"/>
        <v>3.58926875124383</v>
      </c>
      <c r="O206" s="55"/>
      <c r="P206" s="35">
        <f ca="1">IF(ROW()-MATCH(NDVImax,INDEX(D:D,Lig_min,1):INDEX(D:D,Lig_max,1),0)-Lig_min+1&gt;0,MAX(MIN(Zr_min+MAX(INDEX(G:G,Lig_min,1):INDEX(G:G,Lig_max,1))/MAX(MAX(INDEX(G:G,Lig_min,1):INDEX(G:G,Lig_max,1)),Max_fc_pour_Zrmax)*(Zr_max-Zr_min),Zr_max),Ze+0.001),MAX(MIN(Zr_min+G206/MAX(MAX(INDEX(G:G,Lig_min,1):INDEX(G:G,Lig_max,1)),Max_fc_pour_Zrmax)*(Zr_max-Zr_min),Zr_max),Ze+0.001))</f>
        <v>595.55606968994</v>
      </c>
      <c r="Q206" s="35">
        <f ca="1">IF(Z_sol&gt;0,Z_sol-P206,0.1)</f>
        <v>18.318481374494</v>
      </c>
      <c r="R206" s="35">
        <f ca="1">(Wfc-Wwp)*P206</f>
        <v>77.4222890596922</v>
      </c>
      <c r="S206" s="35">
        <f ca="1">(Wfc-Wwp)*Q206</f>
        <v>2.38140257868422</v>
      </c>
      <c r="T206" s="99">
        <f ca="1" t="shared" si="31"/>
        <v>18.0166885261457</v>
      </c>
      <c r="U206" s="99">
        <f ca="1" t="shared" si="32"/>
        <v>18.0166885261457</v>
      </c>
      <c r="V206" s="99">
        <f ca="1">IF(P206&gt;P205,IF(Q206&gt;1,MAX(AI205+(Wfc-Wwp)*(P206-P205)*AJ205/S205,0),AI205/P205*P206),MAX(AI205+(Wfc-Wwp)*(P206-P205)*AI205/R205,0))</f>
        <v>48.2439822821253</v>
      </c>
      <c r="W206" s="99">
        <f ca="1">IF(S206&gt;1,IF(P206&gt;P205,MAX(AJ205-(Wfc-Wwp)*(P206-P205)*AJ205/S205,0),MAX(AJ205-(Wfc-Wwp)*(P206-P205)*AI205/R205,0)),0)</f>
        <v>1.88023877642798e-6</v>
      </c>
      <c r="X206" s="99">
        <f ca="1">IF(AND(OR(AND(dec_vide_TAW&lt;0,V206&gt;R206*(p+0.04*(5-I205))),AND(dec_vide_TAW&gt;0,V206&gt;R206*dec_vide_TAW)),H206&gt;MAX(INDEX(H:H,Lig_min,1):INDEX(H:H,ROW(X206),1))*Kcbmax_stop_irrig*IF(ROW(X206)-lig_kcbmax&gt;0,1,0),MIN(INDEX(H:H,ROW(X206),1):INDEX(H:H,lig_kcbmax,1))&gt;Kcbmin_start_irrig),MIN(MAX(V206-E206*Irri_man-C206,0),Lame_max),0)</f>
        <v>48.2439822821253</v>
      </c>
      <c r="Y206" s="99">
        <f ca="1">MIN(MAX(T206-C206-IF(fw&gt;0,X206/fw*Irri_auto+E206/fw*Irri_man,0),0),TEW)</f>
        <v>18.0166885261457</v>
      </c>
      <c r="Z206" s="99">
        <f ca="1">MIN(MAX(U206-C206,0),TEW)</f>
        <v>18.0166885261457</v>
      </c>
      <c r="AA206" s="99">
        <f ca="1">MIN(MAX(V206-C206-(X206*Irri_auto+E206*Irri_man),0),R206)</f>
        <v>48.2439822821253</v>
      </c>
      <c r="AB206" s="99">
        <f ca="1">MIN(MAX(W206+MIN(V206-C206-(X206*Irri_auto+E206*Irri_man),0),0),S206)</f>
        <v>1.88023877642798e-6</v>
      </c>
      <c r="AC206" s="99">
        <f ca="1">-MIN(W206+MIN(V206-C206-(X206*Irri_auto+E206*Irri_man),0),0)</f>
        <v>0</v>
      </c>
      <c r="AD206" s="39">
        <f ca="1">IF(((R206-AA206)/P206-((Wfc-Wwp)*Ze-Y206)/Ze)/Wfc*DiffE&lt;0,MAX(((R206-AA206)/P206-((Wfc-Wwp)*Ze-Y206)/Ze)/Wfc*DiffE,(R206*Ze-((Wfc-Wwp)*Ze-Y206-AA206)*P206)/(P206+Ze)-AA206),MIN(((R206-AA206)/P206-((Wfc-Wwp)*Ze-Y206)/Ze)/Wfc*DiffE,(R206*Ze-((Wfc-Wwp)*Ze-Y206-AA206)*P206)/(P206+Ze)-AA206))</f>
        <v>1.57817228683109e-7</v>
      </c>
      <c r="AE206" s="39">
        <f ca="1">IF(((R206-AA206)/P206-((Wfc-Wwp)*Ze-Z206)/Ze)/Wfc*DiffE&lt;0,MAX(((R206-AA206)/P206-((Wfc-Wwp)*Ze-Z206)/Ze)/Wfc*DiffE,(R206*Ze-((Wfc-Wwp)*Ze-Z206-AA206)*P206)/(P206+Ze)-AA206),MIN(((R206-AA206)/P206-((Wfc-Wwp)*Ze-Z206)/Ze)/Wfc*DiffE,(R206*Ze-((Wfc-Wwp)*Ze-Z206-AA206)*P206)/(P206+Ze)-AA206))</f>
        <v>1.57817228683109e-7</v>
      </c>
      <c r="AF206" s="39">
        <f ca="1">IF(((S206-AB206)/Q206-(R206-AA206)/P206)/Wfc*DiffR&lt;0,MAX(((S206-AB206)/Q206-(R206-AA206)/P206)/Wfc*DiffR,(S206*P206-(R206-AA206-AB206)*Q206)/(P206+Q206)-AB206),MIN(((S206-AB206)/Q206-(R206-AA206)/P206)/Wfc*DiffR,(S206*P206-(R206-AA206-AB206)*Q206)/(P206+Q206)-AB206))</f>
        <v>2.02516285235732e-7</v>
      </c>
      <c r="AG206" s="99">
        <f ca="1">MIN(MAX(Y206+IF(AU206&gt;0,B206*AZ206/AU206,0)+BE206-AD206,0),TEW)</f>
        <v>19.7190991329875</v>
      </c>
      <c r="AH206" s="99">
        <f ca="1">MIN(MAX(Z206+IF(AV206&gt;0,B206*BA206/AV206,0)+BF206-AE206,0),TEW)</f>
        <v>19.7190991329875</v>
      </c>
      <c r="AI206" s="99">
        <f ca="1" t="shared" si="23"/>
        <v>51.8332508308528</v>
      </c>
      <c r="AJ206" s="99">
        <f ca="1" t="shared" si="24"/>
        <v>2.08275506166371e-6</v>
      </c>
      <c r="AK206" s="70">
        <f ca="1">IF((AU206+AV206)&gt;0,(TEW-(AG206*AU206+AH206*AV206)/(AU206+AV206))/TEW,(TEW-(AG206+AH206)/2)/TEW)</f>
        <v>0.404706441268302</v>
      </c>
      <c r="AL206" s="70">
        <f ca="1" t="shared" si="25"/>
        <v>0.330512550579722</v>
      </c>
      <c r="AM206" s="70">
        <f ca="1" t="shared" si="26"/>
        <v>0.999999125408245</v>
      </c>
      <c r="AN206" s="70">
        <f ca="1">Wwp+(Wfc-Wwp)*IF((AU206+AV206)&gt;0,(TEW-(AG206*AU206+AH206*AV206)/(AU206+AV206))/TEW,(TEW-(AG206+AH206)/2)/TEW)</f>
        <v>0.322611837364879</v>
      </c>
      <c r="AO206" s="70">
        <f ca="1">Wwp+(Wfc-Wwp)*(R206-AI206)/R206</f>
        <v>0.312966631575364</v>
      </c>
      <c r="AP206" s="70">
        <f ca="1">Wwp+(Wfc-Wwp)*(S206-AJ206)/S206</f>
        <v>0.399999886303072</v>
      </c>
      <c r="AQ206" s="70"/>
      <c r="AR206" s="70"/>
      <c r="AS206" s="70"/>
      <c r="AT206" s="70"/>
      <c r="AU206" s="70">
        <f ca="1">MIN((1-G206),fw)</f>
        <v>0</v>
      </c>
      <c r="AV206" s="70">
        <f ca="1" t="shared" si="27"/>
        <v>0</v>
      </c>
      <c r="AW206" s="70">
        <f ca="1">MIN((TEW-Y206)/(TEW-REW),1)</f>
        <v>0.0580515830862817</v>
      </c>
      <c r="AX206" s="70">
        <f ca="1">MIN((TEW-Z206)/(TEW-REW),1)</f>
        <v>0.0580515830862817</v>
      </c>
      <c r="AY206" s="70">
        <f ca="1">IF((AU206*(TEW-Y206))&gt;0,1/(1+((AV206*(TEW-Z206))/(AU206*(TEW-Y206)))),0)</f>
        <v>0</v>
      </c>
      <c r="AZ206" s="70">
        <f ca="1">MIN((AY206*AW206*(Kcmax-H206)),AU206*Kcmax)</f>
        <v>0</v>
      </c>
      <c r="BA206" s="70">
        <f ca="1">MIN(((1-AY206)*AX206*(Kcmax-H206)),AV206*Kcmax)</f>
        <v>0</v>
      </c>
      <c r="BB206" s="70">
        <f ca="1" t="shared" si="28"/>
        <v>0</v>
      </c>
      <c r="BC206" s="70">
        <f ca="1">MIN((R206-AA206)/(R206*(1-(p+0.04*(5-I205)))),1)</f>
        <v>0.955424430095247</v>
      </c>
      <c r="BD206" s="10">
        <f ca="1" t="shared" si="29"/>
        <v>3.58926875124383</v>
      </c>
      <c r="BE206" s="70">
        <f ca="1">MIN(IF((1-AA206/R206)&gt;0,(1-Y206/TEW)/(1-AA206/R206)*(Ze/P206)^0.6,0),1)*BC206*H206*B206</f>
        <v>1.70241076465899</v>
      </c>
      <c r="BF206" s="70">
        <f ca="1">MIN(IF((1-AA206/R206)&gt;0,(1-Z206/TEW)/(1-AA206/R206)*(Ze/P206)^0.6,0),1)*BC206*H206*B206</f>
        <v>1.70241076465899</v>
      </c>
      <c r="BH206" s="10">
        <f ca="1" t="shared" si="30"/>
        <v>0.333113147591979</v>
      </c>
      <c r="BI206" s="10">
        <f ca="1">IF(F206&lt;&gt;"",(Moy_Etobs-F206)^2,"")</f>
        <v>1.96907303246924</v>
      </c>
    </row>
    <row r="207" spans="1:61">
      <c r="A207" s="38">
        <v>39200</v>
      </c>
      <c r="B207" s="10">
        <v>3.873</v>
      </c>
      <c r="C207" s="39">
        <v>0</v>
      </c>
      <c r="D207">
        <v>0.906</v>
      </c>
      <c r="E207" s="39">
        <v>0</v>
      </c>
      <c r="F207" s="10">
        <v>3.690162</v>
      </c>
      <c r="G207" s="10">
        <f ca="1">MIN(MAX(IF(AND(Durpla&gt;ROW()-MATCH(NDVImax,INDEX(D:D,Lig_min,1):INDEX(D:D,Lig_max,1),0)-Lig_min+1,ROW()-MATCH(NDVImax,INDEX(D:D,Lig_min,1):INDEX(D:D,Lig_max,1),0)-Lig_min+1&gt;0,D207*a_fc+b_fc&gt;fc_fin),NDVImax*a_fc+b_fc,D207*a_fc+b_fc),0),1)</f>
        <v>1</v>
      </c>
      <c r="H207" s="55">
        <f>MIN(MAX(D207*a_kcb+b_kcb,0),Kcmax)</f>
        <v>1.13631286815993</v>
      </c>
      <c r="I207" s="70">
        <f ca="1" t="shared" ref="I207:I270" si="33">MIN(BB207+BD207,R207-AA207)</f>
        <v>3.69581788711909</v>
      </c>
      <c r="O207" s="55"/>
      <c r="P207" s="35">
        <f ca="1">IF(ROW()-MATCH(NDVImax,INDEX(D:D,Lig_min,1):INDEX(D:D,Lig_max,1),0)-Lig_min+1&gt;0,MAX(MIN(Zr_min+MAX(INDEX(G:G,Lig_min,1):INDEX(G:G,Lig_max,1))/MAX(MAX(INDEX(G:G,Lig_min,1):INDEX(G:G,Lig_max,1)),Max_fc_pour_Zrmax)*(Zr_max-Zr_min),Zr_max),Ze+0.001),MAX(MIN(Zr_min+G207/MAX(MAX(INDEX(G:G,Lig_min,1):INDEX(G:G,Lig_max,1)),Max_fc_pour_Zrmax)*(Zr_max-Zr_min),Zr_max),Ze+0.001))</f>
        <v>595.55606968994</v>
      </c>
      <c r="Q207" s="35">
        <f ca="1">IF(Z_sol&gt;0,Z_sol-P207,0.1)</f>
        <v>18.318481374494</v>
      </c>
      <c r="R207" s="35">
        <f ca="1">(Wfc-Wwp)*P207</f>
        <v>77.4222890596922</v>
      </c>
      <c r="S207" s="35">
        <f ca="1">(Wfc-Wwp)*Q207</f>
        <v>2.38140257868422</v>
      </c>
      <c r="T207" s="99">
        <f ca="1" t="shared" si="31"/>
        <v>19.7190991329875</v>
      </c>
      <c r="U207" s="99">
        <f ca="1" t="shared" si="32"/>
        <v>19.7190991329875</v>
      </c>
      <c r="V207" s="99">
        <f ca="1">IF(P207&gt;P206,IF(Q207&gt;1,MAX(AI206+(Wfc-Wwp)*(P207-P206)*AJ206/S206,0),AI206/P206*P207),MAX(AI206+(Wfc-Wwp)*(P207-P206)*AI206/R206,0))</f>
        <v>51.8332508308528</v>
      </c>
      <c r="W207" s="99">
        <f ca="1">IF(S207&gt;1,IF(P207&gt;P206,MAX(AJ206-(Wfc-Wwp)*(P207-P206)*AJ206/S206,0),MAX(AJ206-(Wfc-Wwp)*(P207-P206)*AI206/R206,0)),0)</f>
        <v>2.08275506166371e-6</v>
      </c>
      <c r="X207" s="99">
        <f ca="1">IF(AND(OR(AND(dec_vide_TAW&lt;0,V207&gt;R207*(p+0.04*(5-I206))),AND(dec_vide_TAW&gt;0,V207&gt;R207*dec_vide_TAW)),H207&gt;MAX(INDEX(H:H,Lig_min,1):INDEX(H:H,ROW(X207),1))*Kcbmax_stop_irrig*IF(ROW(X207)-lig_kcbmax&gt;0,1,0),MIN(INDEX(H:H,ROW(X207),1):INDEX(H:H,lig_kcbmax,1))&gt;Kcbmin_start_irrig),MIN(MAX(V207-E207*Irri_man-C207,0),Lame_max),0)</f>
        <v>50</v>
      </c>
      <c r="Y207" s="99">
        <f ca="1">MIN(MAX(T207-C207-IF(fw&gt;0,X207/fw*Irri_auto+E207/fw*Irri_man,0),0),TEW)</f>
        <v>19.7190991329875</v>
      </c>
      <c r="Z207" s="99">
        <f ca="1">MIN(MAX(U207-C207,0),TEW)</f>
        <v>19.7190991329875</v>
      </c>
      <c r="AA207" s="99">
        <f ca="1">MIN(MAX(V207-C207-(X207*Irri_auto+E207*Irri_man),0),R207)</f>
        <v>51.8332508308528</v>
      </c>
      <c r="AB207" s="99">
        <f ca="1">MIN(MAX(W207+MIN(V207-C207-(X207*Irri_auto+E207*Irri_man),0),0),S207)</f>
        <v>2.08275506166371e-6</v>
      </c>
      <c r="AC207" s="99">
        <f ca="1">-MIN(W207+MIN(V207-C207-(X207*Irri_auto+E207*Irri_man),0),0)</f>
        <v>0</v>
      </c>
      <c r="AD207" s="39">
        <f ca="1">IF(((R207-AA207)/P207-((Wfc-Wwp)*Ze-Y207)/Ze)/Wfc*DiffE&lt;0,MAX(((R207-AA207)/P207-((Wfc-Wwp)*Ze-Y207)/Ze)/Wfc*DiffE,(R207*Ze-((Wfc-Wwp)*Ze-Y207-AA207)*P207)/(P207+Ze)-AA207),MIN(((R207-AA207)/P207-((Wfc-Wwp)*Ze-Y207)/Ze)/Wfc*DiffE,(R207*Ze-((Wfc-Wwp)*Ze-Y207-AA207)*P207)/(P207+Ze)-AA207))</f>
        <v>1.7679856159816e-7</v>
      </c>
      <c r="AE207" s="39">
        <f ca="1">IF(((R207-AA207)/P207-((Wfc-Wwp)*Ze-Z207)/Ze)/Wfc*DiffE&lt;0,MAX(((R207-AA207)/P207-((Wfc-Wwp)*Ze-Z207)/Ze)/Wfc*DiffE,(R207*Ze-((Wfc-Wwp)*Ze-Z207-AA207)*P207)/(P207+Ze)-AA207),MIN(((R207-AA207)/P207-((Wfc-Wwp)*Ze-Z207)/Ze)/Wfc*DiffE,(R207*Ze-((Wfc-Wwp)*Ze-Z207-AA207)*P207)/(P207+Ze)-AA207))</f>
        <v>1.7679856159816e-7</v>
      </c>
      <c r="AF207" s="39">
        <f ca="1">IF(((S207-AB207)/Q207-(R207-AA207)/P207)/Wfc*DiffR&lt;0,MAX(((S207-AB207)/Q207-(R207-AA207)/P207)/Wfc*DiffR,(S207*P207-(R207-AA207-AB207)*Q207)/(P207+Q207)-AB207),MIN(((S207-AB207)/Q207-(R207-AA207)/P207)/Wfc*DiffR,(S207*P207-(R207-AA207-AB207)*Q207)/(P207+Q207)-AB207))</f>
        <v>2.1758313681927e-7</v>
      </c>
      <c r="AG207" s="99">
        <f ca="1">MIN(MAX(Y207+IF(AU207&gt;0,B207*AZ207/AU207,0)+BE207-AD207,0),TEW)</f>
        <v>21.4926967453463</v>
      </c>
      <c r="AH207" s="99">
        <f ca="1">MIN(MAX(Z207+IF(AV207&gt;0,B207*BA207/AV207,0)+BF207-AE207,0),TEW)</f>
        <v>21.4926967453463</v>
      </c>
      <c r="AI207" s="99">
        <f ca="1" t="shared" ref="AI207:AI270" si="34">MIN(MAX(AA207+I207-AF207,0),R207)</f>
        <v>55.5290685003888</v>
      </c>
      <c r="AJ207" s="99">
        <f ca="1" t="shared" ref="AJ207:AJ270" si="35">MIN(MAX(AB207+AF207,0),S207)</f>
        <v>2.30033819848298e-6</v>
      </c>
      <c r="AK207" s="70">
        <f ca="1">IF((AU207+AV207)&gt;0,(TEW-(AG207*AU207+AH207*AV207)/(AU207+AV207))/TEW,(TEW-(AG207+AH207)/2)/TEW)</f>
        <v>0.351163871838603</v>
      </c>
      <c r="AL207" s="70">
        <f ca="1" t="shared" ref="AL207:AL270" si="36">(R207-AI207)/R207</f>
        <v>0.282776714886638</v>
      </c>
      <c r="AM207" s="70">
        <f ca="1" t="shared" ref="AM207:AM270" si="37">(S207-AJ207)/S207</f>
        <v>0.999999034040603</v>
      </c>
      <c r="AN207" s="70">
        <f ca="1">Wwp+(Wfc-Wwp)*IF((AU207+AV207)&gt;0,(TEW-(AG207*AU207+AH207*AV207)/(AU207+AV207))/TEW,(TEW-(AG207+AH207)/2)/TEW)</f>
        <v>0.315651303339018</v>
      </c>
      <c r="AO207" s="70">
        <f ca="1">Wwp+(Wfc-Wwp)*(R207-AI207)/R207</f>
        <v>0.306760972935263</v>
      </c>
      <c r="AP207" s="70">
        <f ca="1">Wwp+(Wfc-Wwp)*(S207-AJ207)/S207</f>
        <v>0.399999874425278</v>
      </c>
      <c r="AQ207" s="70"/>
      <c r="AR207" s="70"/>
      <c r="AS207" s="70"/>
      <c r="AT207" s="70"/>
      <c r="AU207" s="70">
        <f ca="1">MIN((1-G207),fw)</f>
        <v>0</v>
      </c>
      <c r="AV207" s="70">
        <f ca="1" t="shared" ref="AV207:AV270" si="38">1-G207-AU207</f>
        <v>0</v>
      </c>
      <c r="AW207" s="70">
        <f ca="1">MIN((TEW-Y207)/(TEW-REW),1)</f>
        <v>0.0515103073811132</v>
      </c>
      <c r="AX207" s="70">
        <f ca="1">MIN((TEW-Z207)/(TEW-REW),1)</f>
        <v>0.0515103073811132</v>
      </c>
      <c r="AY207" s="70">
        <f ca="1">IF((AU207*(TEW-Y207))&gt;0,1/(1+((AV207*(TEW-Z207))/(AU207*(TEW-Y207)))),0)</f>
        <v>0</v>
      </c>
      <c r="AZ207" s="70">
        <f ca="1">MIN((AY207*AW207*(Kcmax-H207)),AU207*Kcmax)</f>
        <v>0</v>
      </c>
      <c r="BA207" s="70">
        <f ca="1">MIN(((1-AY207)*AX207*(Kcmax-H207)),AV207*Kcmax)</f>
        <v>0</v>
      </c>
      <c r="BB207" s="70">
        <f ca="1" t="shared" ref="BB207:BB270" si="39">B207*(AZ207+BA207)*IF($M$11=1,1-G207,1)</f>
        <v>0</v>
      </c>
      <c r="BC207" s="70">
        <f ca="1">MIN((R207-AA207)/(R207*(1-(p+0.04*(5-I206)))),1)</f>
        <v>0.839779253254823</v>
      </c>
      <c r="BD207" s="10">
        <f ca="1" t="shared" ref="BD207:BD270" si="40">B207*(H207*BC207)</f>
        <v>3.69581788711909</v>
      </c>
      <c r="BE207" s="70">
        <f ca="1">MIN(IF((1-AA207/R207)&gt;0,(1-Y207/TEW)/(1-AA207/R207)*(Ze/P207)^0.6,0),1)*BC207*H207*B207</f>
        <v>1.77359778915731</v>
      </c>
      <c r="BF207" s="70">
        <f ca="1">MIN(IF((1-AA207/R207)&gt;0,(1-Z207/TEW)/(1-AA207/R207)*(Ze/P207)^0.6,0),1)*BC207*H207*B207</f>
        <v>1.77359778915731</v>
      </c>
      <c r="BH207" s="10">
        <f ca="1" t="shared" ref="BH207:BH270" si="41">IF(F207&lt;&gt;"",(F207-I207)^2,"")</f>
        <v>3.19890591038447e-5</v>
      </c>
      <c r="BI207" s="10">
        <f ca="1">IF(F207&lt;&gt;"",(Moy_Etobs-F207)^2,"")</f>
        <v>4.33176568059562</v>
      </c>
    </row>
    <row r="208" spans="1:61">
      <c r="A208" s="38">
        <v>39201</v>
      </c>
      <c r="B208" s="10">
        <v>3.627</v>
      </c>
      <c r="C208" s="39">
        <v>0</v>
      </c>
      <c r="D208">
        <v>0.902</v>
      </c>
      <c r="E208" s="39">
        <v>0</v>
      </c>
      <c r="F208" s="10">
        <v>3.658851</v>
      </c>
      <c r="G208" s="10">
        <f ca="1">MIN(MAX(IF(AND(Durpla&gt;ROW()-MATCH(NDVImax,INDEX(D:D,Lig_min,1):INDEX(D:D,Lig_max,1),0)-Lig_min+1,ROW()-MATCH(NDVImax,INDEX(D:D,Lig_min,1):INDEX(D:D,Lig_max,1),0)-Lig_min+1&gt;0,D208*a_fc+b_fc&gt;fc_fin),NDVImax*a_fc+b_fc,D208*a_fc+b_fc),0),1)</f>
        <v>1</v>
      </c>
      <c r="H208" s="55">
        <f>MIN(MAX(D208*a_kcb+b_kcb,0),Kcmax)</f>
        <v>1.13030063076226</v>
      </c>
      <c r="I208" s="70">
        <f ca="1" t="shared" si="33"/>
        <v>2.91396731560986</v>
      </c>
      <c r="O208" s="55"/>
      <c r="P208" s="35">
        <f ca="1">IF(ROW()-MATCH(NDVImax,INDEX(D:D,Lig_min,1):INDEX(D:D,Lig_max,1),0)-Lig_min+1&gt;0,MAX(MIN(Zr_min+MAX(INDEX(G:G,Lig_min,1):INDEX(G:G,Lig_max,1))/MAX(MAX(INDEX(G:G,Lig_min,1):INDEX(G:G,Lig_max,1)),Max_fc_pour_Zrmax)*(Zr_max-Zr_min),Zr_max),Ze+0.001),MAX(MIN(Zr_min+G208/MAX(MAX(INDEX(G:G,Lig_min,1):INDEX(G:G,Lig_max,1)),Max_fc_pour_Zrmax)*(Zr_max-Zr_min),Zr_max),Ze+0.001))</f>
        <v>595.55606968994</v>
      </c>
      <c r="Q208" s="35">
        <f ca="1">IF(Z_sol&gt;0,Z_sol-P208,0.1)</f>
        <v>18.318481374494</v>
      </c>
      <c r="R208" s="35">
        <f ca="1">(Wfc-Wwp)*P208</f>
        <v>77.4222890596922</v>
      </c>
      <c r="S208" s="35">
        <f ca="1">(Wfc-Wwp)*Q208</f>
        <v>2.38140257868422</v>
      </c>
      <c r="T208" s="99">
        <f ca="1" t="shared" ref="T208:T271" si="42">AG207</f>
        <v>21.4926967453463</v>
      </c>
      <c r="U208" s="99">
        <f ca="1" t="shared" ref="U208:U271" si="43">AH207</f>
        <v>21.4926967453463</v>
      </c>
      <c r="V208" s="99">
        <f ca="1">IF(P208&gt;P207,IF(Q208&gt;1,MAX(AI207+(Wfc-Wwp)*(P208-P207)*AJ207/S207,0),AI207/P207*P208),MAX(AI207+(Wfc-Wwp)*(P208-P207)*AI207/R207,0))</f>
        <v>55.5290685003888</v>
      </c>
      <c r="W208" s="99">
        <f ca="1">IF(S208&gt;1,IF(P208&gt;P207,MAX(AJ207-(Wfc-Wwp)*(P208-P207)*AJ207/S207,0),MAX(AJ207-(Wfc-Wwp)*(P208-P207)*AI207/R207,0)),0)</f>
        <v>2.30033819848298e-6</v>
      </c>
      <c r="X208" s="99">
        <f ca="1">IF(AND(OR(AND(dec_vide_TAW&lt;0,V208&gt;R208*(p+0.04*(5-I207))),AND(dec_vide_TAW&gt;0,V208&gt;R208*dec_vide_TAW)),H208&gt;MAX(INDEX(H:H,Lig_min,1):INDEX(H:H,ROW(X208),1))*Kcbmax_stop_irrig*IF(ROW(X208)-lig_kcbmax&gt;0,1,0),MIN(INDEX(H:H,ROW(X208),1):INDEX(H:H,lig_kcbmax,1))&gt;Kcbmin_start_irrig),MIN(MAX(V208-E208*Irri_man-C208,0),Lame_max),0)</f>
        <v>50</v>
      </c>
      <c r="Y208" s="99">
        <f ca="1">MIN(MAX(T208-C208-IF(fw&gt;0,X208/fw*Irri_auto+E208/fw*Irri_man,0),0),TEW)</f>
        <v>21.4926967453463</v>
      </c>
      <c r="Z208" s="99">
        <f ca="1">MIN(MAX(U208-C208,0),TEW)</f>
        <v>21.4926967453463</v>
      </c>
      <c r="AA208" s="99">
        <f ca="1">MIN(MAX(V208-C208-(X208*Irri_auto+E208*Irri_man),0),R208)</f>
        <v>55.5290685003888</v>
      </c>
      <c r="AB208" s="99">
        <f ca="1">MIN(MAX(W208+MIN(V208-C208-(X208*Irri_auto+E208*Irri_man),0),0),S208)</f>
        <v>2.30033819848298e-6</v>
      </c>
      <c r="AC208" s="99">
        <f ca="1">-MIN(W208+MIN(V208-C208-(X208*Irri_auto+E208*Irri_man),0),0)</f>
        <v>0</v>
      </c>
      <c r="AD208" s="39">
        <f ca="1">IF(((R208-AA208)/P208-((Wfc-Wwp)*Ze-Y208)/Ze)/Wfc*DiffE&lt;0,MAX(((R208-AA208)/P208-((Wfc-Wwp)*Ze-Y208)/Ze)/Wfc*DiffE,(R208*Ze-((Wfc-Wwp)*Ze-Y208-AA208)*P208)/(P208+Ze)-AA208),MIN(((R208-AA208)/P208-((Wfc-Wwp)*Ze-Y208)/Ze)/Wfc*DiffE,(R208*Ze-((Wfc-Wwp)*Ze-Y208-AA208)*P208)/(P208+Ze)-AA208))</f>
        <v>1.96756367245083e-7</v>
      </c>
      <c r="AE208" s="39">
        <f ca="1">IF(((R208-AA208)/P208-((Wfc-Wwp)*Ze-Z208)/Ze)/Wfc*DiffE&lt;0,MAX(((R208-AA208)/P208-((Wfc-Wwp)*Ze-Z208)/Ze)/Wfc*DiffE,(R208*Ze-((Wfc-Wwp)*Ze-Z208-AA208)*P208)/(P208+Ze)-AA208),MIN(((R208-AA208)/P208-((Wfc-Wwp)*Ze-Z208)/Ze)/Wfc*DiffE,(R208*Ze-((Wfc-Wwp)*Ze-Z208-AA208)*P208)/(P208+Ze)-AA208))</f>
        <v>1.96756367245083e-7</v>
      </c>
      <c r="AF208" s="39">
        <f ca="1">IF(((S208-AB208)/Q208-(R208-AA208)/P208)/Wfc*DiffR&lt;0,MAX(((S208-AB208)/Q208-(R208-AA208)/P208)/Wfc*DiffR,(S208*P208-(R208-AA208-AB208)*Q208)/(P208+Q208)-AB208),MIN(((S208-AB208)/Q208-(R208-AA208)/P208)/Wfc*DiffR,(S208*P208-(R208-AA208-AB208)*Q208)/(P208+Q208)-AB208))</f>
        <v>2.33097253725039e-7</v>
      </c>
      <c r="AG208" s="99">
        <f ca="1">MIN(MAX(Y208+IF(AU208&gt;0,B208*AZ208/AU208,0)+BE208-AD208,0),TEW)</f>
        <v>22.9109154686722</v>
      </c>
      <c r="AH208" s="99">
        <f ca="1">MIN(MAX(Z208+IF(AV208&gt;0,B208*BA208/AV208,0)+BF208-AE208,0),TEW)</f>
        <v>22.9109154686722</v>
      </c>
      <c r="AI208" s="99">
        <f ca="1" t="shared" si="34"/>
        <v>58.4430355829014</v>
      </c>
      <c r="AJ208" s="99">
        <f ca="1" t="shared" si="35"/>
        <v>2.53343545220802e-6</v>
      </c>
      <c r="AK208" s="70">
        <f ca="1">IF((AU208+AV208)&gt;0,(TEW-(AG208*AU208+AH208*AV208)/(AU208+AV208))/TEW,(TEW-(AG208+AH208)/2)/TEW)</f>
        <v>0.308349721700461</v>
      </c>
      <c r="AL208" s="70">
        <f ca="1" t="shared" si="36"/>
        <v>0.24513939987176</v>
      </c>
      <c r="AM208" s="70">
        <f ca="1" t="shared" si="37"/>
        <v>0.999998936158265</v>
      </c>
      <c r="AN208" s="70">
        <f ca="1">Wwp+(Wfc-Wwp)*IF((AU208+AV208)&gt;0,(TEW-(AG208*AU208+AH208*AV208)/(AU208+AV208))/TEW,(TEW-(AG208+AH208)/2)/TEW)</f>
        <v>0.31008546382106</v>
      </c>
      <c r="AO208" s="70">
        <f ca="1">Wwp+(Wfc-Wwp)*(R208-AI208)/R208</f>
        <v>0.301868121983329</v>
      </c>
      <c r="AP208" s="70">
        <f ca="1">Wwp+(Wfc-Wwp)*(S208-AJ208)/S208</f>
        <v>0.399999861700574</v>
      </c>
      <c r="AQ208" s="70"/>
      <c r="AR208" s="70"/>
      <c r="AS208" s="70"/>
      <c r="AT208" s="70"/>
      <c r="AU208" s="70">
        <f ca="1">MIN((1-G208),fw)</f>
        <v>0</v>
      </c>
      <c r="AV208" s="70">
        <f ca="1" t="shared" si="38"/>
        <v>0</v>
      </c>
      <c r="AW208" s="70">
        <f ca="1">MIN((TEW-Y208)/(TEW-REW),1)</f>
        <v>0.0446955055196575</v>
      </c>
      <c r="AX208" s="70">
        <f ca="1">MIN((TEW-Z208)/(TEW-REW),1)</f>
        <v>0.0446955055196575</v>
      </c>
      <c r="AY208" s="70">
        <f ca="1">IF((AU208*(TEW-Y208))&gt;0,1/(1+((AV208*(TEW-Z208))/(AU208*(TEW-Y208)))),0)</f>
        <v>0</v>
      </c>
      <c r="AZ208" s="70">
        <f ca="1">MIN((AY208*AW208*(Kcmax-H208)),AU208*Kcmax)</f>
        <v>0</v>
      </c>
      <c r="BA208" s="70">
        <f ca="1">MIN(((1-AY208)*AX208*(Kcmax-H208)),AV208*Kcmax)</f>
        <v>0</v>
      </c>
      <c r="BB208" s="70">
        <f ca="1" t="shared" si="39"/>
        <v>0</v>
      </c>
      <c r="BC208" s="70">
        <f ca="1">MIN((R208-AA208)/(R208*(1-(p+0.04*(5-I207)))),1)</f>
        <v>0.710793013948266</v>
      </c>
      <c r="BD208" s="10">
        <f ca="1" t="shared" si="40"/>
        <v>2.91396731560986</v>
      </c>
      <c r="BE208" s="70">
        <f ca="1">MIN(IF((1-AA208/R208)&gt;0,(1-Y208/TEW)/(1-AA208/R208)*(Ze/P208)^0.6,0),1)*BC208*H208*B208</f>
        <v>1.41821892008234</v>
      </c>
      <c r="BF208" s="70">
        <f ca="1">MIN(IF((1-AA208/R208)&gt;0,(1-Z208/TEW)/(1-AA208/R208)*(Ze/P208)^0.6,0),1)*BC208*H208*B208</f>
        <v>1.41821892008234</v>
      </c>
      <c r="BH208" s="10">
        <f ca="1" t="shared" si="41"/>
        <v>0.554851703270629</v>
      </c>
      <c r="BI208" s="10">
        <f ca="1">IF(F208&lt;&gt;"",(Moy_Etobs-F208)^2,"")</f>
        <v>4.20241155279415</v>
      </c>
    </row>
    <row r="209" spans="1:61">
      <c r="A209" s="38">
        <v>39202</v>
      </c>
      <c r="B209" s="10">
        <v>3.918</v>
      </c>
      <c r="C209" s="39">
        <v>18.02</v>
      </c>
      <c r="D209">
        <v>0.898</v>
      </c>
      <c r="E209" s="39">
        <v>0</v>
      </c>
      <c r="F209" s="10">
        <v>3.5868726</v>
      </c>
      <c r="G209" s="10">
        <f ca="1">MIN(MAX(IF(AND(Durpla&gt;ROW()-MATCH(NDVImax,INDEX(D:D,Lig_min,1):INDEX(D:D,Lig_max,1),0)-Lig_min+1,ROW()-MATCH(NDVImax,INDEX(D:D,Lig_min,1):INDEX(D:D,Lig_max,1),0)-Lig_min+1&gt;0,D209*a_fc+b_fc&gt;fc_fin),NDVImax*a_fc+b_fc,D209*a_fc+b_fc),0),1)</f>
        <v>1</v>
      </c>
      <c r="H209" s="55">
        <f>MIN(MAX(D209*a_kcb+b_kcb,0),Kcmax)</f>
        <v>1.12428839336458</v>
      </c>
      <c r="I209" s="70">
        <f ca="1" t="shared" si="33"/>
        <v>4.40496192520244</v>
      </c>
      <c r="O209" s="55"/>
      <c r="P209" s="35">
        <f ca="1">IF(ROW()-MATCH(NDVImax,INDEX(D:D,Lig_min,1):INDEX(D:D,Lig_max,1),0)-Lig_min+1&gt;0,MAX(MIN(Zr_min+MAX(INDEX(G:G,Lig_min,1):INDEX(G:G,Lig_max,1))/MAX(MAX(INDEX(G:G,Lig_min,1):INDEX(G:G,Lig_max,1)),Max_fc_pour_Zrmax)*(Zr_max-Zr_min),Zr_max),Ze+0.001),MAX(MIN(Zr_min+G209/MAX(MAX(INDEX(G:G,Lig_min,1):INDEX(G:G,Lig_max,1)),Max_fc_pour_Zrmax)*(Zr_max-Zr_min),Zr_max),Ze+0.001))</f>
        <v>595.55606968994</v>
      </c>
      <c r="Q209" s="35">
        <f ca="1">IF(Z_sol&gt;0,Z_sol-P209,0.1)</f>
        <v>18.318481374494</v>
      </c>
      <c r="R209" s="35">
        <f ca="1">(Wfc-Wwp)*P209</f>
        <v>77.4222890596922</v>
      </c>
      <c r="S209" s="35">
        <f ca="1">(Wfc-Wwp)*Q209</f>
        <v>2.38140257868422</v>
      </c>
      <c r="T209" s="99">
        <f ca="1" t="shared" si="42"/>
        <v>22.9109154686722</v>
      </c>
      <c r="U209" s="99">
        <f ca="1" t="shared" si="43"/>
        <v>22.9109154686722</v>
      </c>
      <c r="V209" s="99">
        <f ca="1">IF(P209&gt;P208,IF(Q209&gt;1,MAX(AI208+(Wfc-Wwp)*(P209-P208)*AJ208/S208,0),AI208/P208*P209),MAX(AI208+(Wfc-Wwp)*(P209-P208)*AI208/R208,0))</f>
        <v>58.4430355829014</v>
      </c>
      <c r="W209" s="99">
        <f ca="1">IF(S209&gt;1,IF(P209&gt;P208,MAX(AJ208-(Wfc-Wwp)*(P209-P208)*AJ208/S208,0),MAX(AJ208-(Wfc-Wwp)*(P209-P208)*AI208/R208,0)),0)</f>
        <v>2.53343545220802e-6</v>
      </c>
      <c r="X209" s="99">
        <f ca="1">IF(AND(OR(AND(dec_vide_TAW&lt;0,V209&gt;R209*(p+0.04*(5-I208))),AND(dec_vide_TAW&gt;0,V209&gt;R209*dec_vide_TAW)),H209&gt;MAX(INDEX(H:H,Lig_min,1):INDEX(H:H,ROW(X209),1))*Kcbmax_stop_irrig*IF(ROW(X209)-lig_kcbmax&gt;0,1,0),MIN(INDEX(H:H,ROW(X209),1):INDEX(H:H,lig_kcbmax,1))&gt;Kcbmin_start_irrig),MIN(MAX(V209-E209*Irri_man-C209,0),Lame_max),0)</f>
        <v>40.4230355829014</v>
      </c>
      <c r="Y209" s="99">
        <f ca="1">MIN(MAX(T209-C209-IF(fw&gt;0,X209/fw*Irri_auto+E209/fw*Irri_man,0),0),TEW)</f>
        <v>4.89091546867224</v>
      </c>
      <c r="Z209" s="99">
        <f ca="1">MIN(MAX(U209-C209,0),TEW)</f>
        <v>4.89091546867224</v>
      </c>
      <c r="AA209" s="99">
        <f ca="1">MIN(MAX(V209-C209-(X209*Irri_auto+E209*Irri_man),0),R209)</f>
        <v>40.4230355829014</v>
      </c>
      <c r="AB209" s="99">
        <f ca="1">MIN(MAX(W209+MIN(V209-C209-(X209*Irri_auto+E209*Irri_man),0),0),S209)</f>
        <v>2.53343545220802e-6</v>
      </c>
      <c r="AC209" s="99">
        <f ca="1">-MIN(W209+MIN(V209-C209-(X209*Irri_auto+E209*Irri_man),0),0)</f>
        <v>0</v>
      </c>
      <c r="AD209" s="39">
        <f ca="1">IF(((R209-AA209)/P209-((Wfc-Wwp)*Ze-Y209)/Ze)/Wfc*DiffE&lt;0,MAX(((R209-AA209)/P209-((Wfc-Wwp)*Ze-Y209)/Ze)/Wfc*DiffE,(R209*Ze-((Wfc-Wwp)*Ze-Y209-AA209)*P209)/(P209+Ze)-AA209),MIN(((R209-AA209)/P209-((Wfc-Wwp)*Ze-Y209)/Ze)/Wfc*DiffE,(R209*Ze-((Wfc-Wwp)*Ze-Y209-AA209)*P209)/(P209+Ze)-AA209))</f>
        <v>-7.18677942538196e-8</v>
      </c>
      <c r="AE209" s="39">
        <f ca="1">IF(((R209-AA209)/P209-((Wfc-Wwp)*Ze-Z209)/Ze)/Wfc*DiffE&lt;0,MAX(((R209-AA209)/P209-((Wfc-Wwp)*Ze-Z209)/Ze)/Wfc*DiffE,(R209*Ze-((Wfc-Wwp)*Ze-Z209-AA209)*P209)/(P209+Ze)-AA209),MIN(((R209-AA209)/P209-((Wfc-Wwp)*Ze-Z209)/Ze)/Wfc*DiffE,(R209*Ze-((Wfc-Wwp)*Ze-Z209-AA209)*P209)/(P209+Ze)-AA209))</f>
        <v>-7.18677942538196e-8</v>
      </c>
      <c r="AF209" s="39">
        <f ca="1">IF(((S209-AB209)/Q209-(R209-AA209)/P209)/Wfc*DiffR&lt;0,MAX(((S209-AB209)/Q209-(R209-AA209)/P209)/Wfc*DiffR,(S209*P209-(R209-AA209-AB209)*Q209)/(P209+Q209)-AB209),MIN(((S209-AB209)/Q209-(R209-AA209)/P209)/Wfc*DiffR,(S209*P209-(R209-AA209-AB209)*Q209)/(P209+Q209)-AB209))</f>
        <v>1.696857578787e-7</v>
      </c>
      <c r="AG209" s="99">
        <f ca="1">MIN(MAX(Y209+IF(AU209&gt;0,B209*AZ209/AU209,0)+BE209-AD209,0),TEW)</f>
        <v>7.97002723543485</v>
      </c>
      <c r="AH209" s="99">
        <f ca="1">MIN(MAX(Z209+IF(AV209&gt;0,B209*BA209/AV209,0)+BF209-AE209,0),TEW)</f>
        <v>7.97002723543485</v>
      </c>
      <c r="AI209" s="99">
        <f ca="1" t="shared" si="34"/>
        <v>44.8279973384181</v>
      </c>
      <c r="AJ209" s="99">
        <f ca="1" t="shared" si="35"/>
        <v>2.70312121008672e-6</v>
      </c>
      <c r="AK209" s="70">
        <f ca="1">IF((AU209+AV209)&gt;0,(TEW-(AG209*AU209+AH209*AV209)/(AU209+AV209))/TEW,(TEW-(AG209+AH209)/2)/TEW)</f>
        <v>0.759395404213288</v>
      </c>
      <c r="AL209" s="70">
        <f ca="1" t="shared" si="36"/>
        <v>0.420993645591441</v>
      </c>
      <c r="AM209" s="70">
        <f ca="1" t="shared" si="37"/>
        <v>0.999998864903719</v>
      </c>
      <c r="AN209" s="70">
        <f ca="1">Wwp+(Wfc-Wwp)*IF((AU209+AV209)&gt;0,(TEW-(AG209*AU209+AH209*AV209)/(AU209+AV209))/TEW,(TEW-(AG209+AH209)/2)/TEW)</f>
        <v>0.368721402547727</v>
      </c>
      <c r="AO209" s="70">
        <f ca="1">Wwp+(Wfc-Wwp)*(R209-AI209)/R209</f>
        <v>0.324729173926887</v>
      </c>
      <c r="AP209" s="70">
        <f ca="1">Wwp+(Wfc-Wwp)*(S209-AJ209)/S209</f>
        <v>0.399999852437484</v>
      </c>
      <c r="AQ209" s="70"/>
      <c r="AR209" s="70"/>
      <c r="AS209" s="70"/>
      <c r="AT209" s="70"/>
      <c r="AU209" s="70">
        <f ca="1">MIN((1-G209),fw)</f>
        <v>0</v>
      </c>
      <c r="AV209" s="70">
        <f ca="1" t="shared" si="38"/>
        <v>0</v>
      </c>
      <c r="AW209" s="70">
        <f ca="1">MIN((TEW-Y209)/(TEW-REW),1)</f>
        <v>0.108485538365549</v>
      </c>
      <c r="AX209" s="70">
        <f ca="1">MIN((TEW-Z209)/(TEW-REW),1)</f>
        <v>0.108485538365549</v>
      </c>
      <c r="AY209" s="70">
        <f ca="1">IF((AU209*(TEW-Y209))&gt;0,1/(1+((AV209*(TEW-Z209))/(AU209*(TEW-Y209)))),0)</f>
        <v>0</v>
      </c>
      <c r="AZ209" s="70">
        <f ca="1">MIN((AY209*AW209*(Kcmax-H209)),AU209*Kcmax)</f>
        <v>0</v>
      </c>
      <c r="BA209" s="70">
        <f ca="1">MIN(((1-AY209)*AX209*(Kcmax-H209)),AV209*Kcmax)</f>
        <v>0</v>
      </c>
      <c r="BB209" s="70">
        <f ca="1" t="shared" si="39"/>
        <v>0</v>
      </c>
      <c r="BC209" s="70">
        <f ca="1">MIN((R209-AA209)/(R209*(1-(p+0.04*(5-I208)))),1)</f>
        <v>1</v>
      </c>
      <c r="BD209" s="10">
        <f ca="1" t="shared" si="40"/>
        <v>4.40496192520244</v>
      </c>
      <c r="BE209" s="70">
        <f ca="1">MIN(IF((1-AA209/R209)&gt;0,(1-Y209/TEW)/(1-AA209/R209)*(Ze/P209)^0.6,0),1)*BC209*H209*B209</f>
        <v>3.07911169489482</v>
      </c>
      <c r="BF209" s="70">
        <f ca="1">MIN(IF((1-AA209/R209)&gt;0,(1-Z209/TEW)/(1-AA209/R209)*(Ze/P209)^0.6,0),1)*BC209*H209*B209</f>
        <v>3.07911169489482</v>
      </c>
      <c r="BH209" s="10">
        <f ca="1" t="shared" si="41"/>
        <v>0.669270144010184</v>
      </c>
      <c r="BI209" s="10">
        <f ca="1">IF(F209&lt;&gt;"",(Moy_Etobs-F209)^2,"")</f>
        <v>3.91248410838356</v>
      </c>
    </row>
    <row r="210" spans="1:61">
      <c r="A210" s="38">
        <v>39203</v>
      </c>
      <c r="B210" s="10">
        <v>0.601</v>
      </c>
      <c r="C210" s="39">
        <v>31.284</v>
      </c>
      <c r="D210">
        <v>0.894</v>
      </c>
      <c r="E210" s="39">
        <v>0</v>
      </c>
      <c r="F210"/>
      <c r="G210" s="10">
        <f ca="1">MIN(MAX(IF(AND(Durpla&gt;ROW()-MATCH(NDVImax,INDEX(D:D,Lig_min,1):INDEX(D:D,Lig_max,1),0)-Lig_min+1,ROW()-MATCH(NDVImax,INDEX(D:D,Lig_min,1):INDEX(D:D,Lig_max,1),0)-Lig_min+1&gt;0,D210*a_fc+b_fc&gt;fc_fin),NDVImax*a_fc+b_fc,D210*a_fc+b_fc),0),1)</f>
        <v>1</v>
      </c>
      <c r="H210" s="55">
        <f>MIN(MAX(D210*a_kcb+b_kcb,0),Kcmax)</f>
        <v>1.11827615596691</v>
      </c>
      <c r="I210" s="70">
        <f ca="1" t="shared" si="33"/>
        <v>0.672083969736114</v>
      </c>
      <c r="O210" s="55"/>
      <c r="P210" s="35">
        <f ca="1">IF(ROW()-MATCH(NDVImax,INDEX(D:D,Lig_min,1):INDEX(D:D,Lig_max,1),0)-Lig_min+1&gt;0,MAX(MIN(Zr_min+MAX(INDEX(G:G,Lig_min,1):INDEX(G:G,Lig_max,1))/MAX(MAX(INDEX(G:G,Lig_min,1):INDEX(G:G,Lig_max,1)),Max_fc_pour_Zrmax)*(Zr_max-Zr_min),Zr_max),Ze+0.001),MAX(MIN(Zr_min+G210/MAX(MAX(INDEX(G:G,Lig_min,1):INDEX(G:G,Lig_max,1)),Max_fc_pour_Zrmax)*(Zr_max-Zr_min),Zr_max),Ze+0.001))</f>
        <v>595.55606968994</v>
      </c>
      <c r="Q210" s="35">
        <f ca="1">IF(Z_sol&gt;0,Z_sol-P210,0.1)</f>
        <v>18.318481374494</v>
      </c>
      <c r="R210" s="35">
        <f ca="1">(Wfc-Wwp)*P210</f>
        <v>77.4222890596922</v>
      </c>
      <c r="S210" s="35">
        <f ca="1">(Wfc-Wwp)*Q210</f>
        <v>2.38140257868422</v>
      </c>
      <c r="T210" s="99">
        <f ca="1" t="shared" si="42"/>
        <v>7.97002723543485</v>
      </c>
      <c r="U210" s="99">
        <f ca="1" t="shared" si="43"/>
        <v>7.97002723543485</v>
      </c>
      <c r="V210" s="99">
        <f ca="1">IF(P210&gt;P209,IF(Q210&gt;1,MAX(AI209+(Wfc-Wwp)*(P210-P209)*AJ209/S209,0),AI209/P209*P210),MAX(AI209+(Wfc-Wwp)*(P210-P209)*AI209/R209,0))</f>
        <v>44.8279973384181</v>
      </c>
      <c r="W210" s="99">
        <f ca="1">IF(S210&gt;1,IF(P210&gt;P209,MAX(AJ209-(Wfc-Wwp)*(P210-P209)*AJ209/S209,0),MAX(AJ209-(Wfc-Wwp)*(P210-P209)*AI209/R209,0)),0)</f>
        <v>2.70312121008672e-6</v>
      </c>
      <c r="X210" s="99">
        <f ca="1">IF(AND(OR(AND(dec_vide_TAW&lt;0,V210&gt;R210*(p+0.04*(5-I209))),AND(dec_vide_TAW&gt;0,V210&gt;R210*dec_vide_TAW)),H210&gt;MAX(INDEX(H:H,Lig_min,1):INDEX(H:H,ROW(X210),1))*Kcbmax_stop_irrig*IF(ROW(X210)-lig_kcbmax&gt;0,1,0),MIN(INDEX(H:H,ROW(X210),1):INDEX(H:H,lig_kcbmax,1))&gt;Kcbmin_start_irrig),MIN(MAX(V210-E210*Irri_man-C210,0),Lame_max),0)</f>
        <v>13.5439973384181</v>
      </c>
      <c r="Y210" s="99">
        <f ca="1">MIN(MAX(T210-C210-IF(fw&gt;0,X210/fw*Irri_auto+E210/fw*Irri_man,0),0),TEW)</f>
        <v>0</v>
      </c>
      <c r="Z210" s="99">
        <f ca="1">MIN(MAX(U210-C210,0),TEW)</f>
        <v>0</v>
      </c>
      <c r="AA210" s="99">
        <f ca="1">MIN(MAX(V210-C210-(X210*Irri_auto+E210*Irri_man),0),R210)</f>
        <v>13.5439973384181</v>
      </c>
      <c r="AB210" s="99">
        <f ca="1">MIN(MAX(W210+MIN(V210-C210-(X210*Irri_auto+E210*Irri_man),0),0),S210)</f>
        <v>2.70312121008672e-6</v>
      </c>
      <c r="AC210" s="99">
        <f ca="1">-MIN(W210+MIN(V210-C210-(X210*Irri_auto+E210*Irri_man),0),0)</f>
        <v>0</v>
      </c>
      <c r="AD210" s="39">
        <f ca="1">IF(((R210-AA210)/P210-((Wfc-Wwp)*Ze-Y210)/Ze)/Wfc*DiffE&lt;0,MAX(((R210-AA210)/P210-((Wfc-Wwp)*Ze-Y210)/Ze)/Wfc*DiffE,(R210*Ze-((Wfc-Wwp)*Ze-Y210-AA210)*P210)/(P210+Ze)-AA210),MIN(((R210-AA210)/P210-((Wfc-Wwp)*Ze-Y210)/Ze)/Wfc*DiffE,(R210*Ze-((Wfc-Wwp)*Ze-Y210-AA210)*P210)/(P210+Ze)-AA210))</f>
        <v>-5.68544173576695e-8</v>
      </c>
      <c r="AE210" s="39">
        <f ca="1">IF(((R210-AA210)/P210-((Wfc-Wwp)*Ze-Z210)/Ze)/Wfc*DiffE&lt;0,MAX(((R210-AA210)/P210-((Wfc-Wwp)*Ze-Z210)/Ze)/Wfc*DiffE,(R210*Ze-((Wfc-Wwp)*Ze-Z210-AA210)*P210)/(P210+Ze)-AA210),MIN(((R210-AA210)/P210-((Wfc-Wwp)*Ze-Z210)/Ze)/Wfc*DiffE,(R210*Ze-((Wfc-Wwp)*Ze-Z210-AA210)*P210)/(P210+Ze)-AA210))</f>
        <v>-5.68544173576695e-8</v>
      </c>
      <c r="AF210" s="39">
        <f ca="1">IF(((S210-AB210)/Q210-(R210-AA210)/P210)/Wfc*DiffR&lt;0,MAX(((S210-AB210)/Q210-(R210-AA210)/P210)/Wfc*DiffR,(S210*P210-(R210-AA210-AB210)*Q210)/(P210+Q210)-AB210),MIN(((S210-AB210)/Q210-(R210-AA210)/P210)/Wfc*DiffR,(S210*P210-(R210-AA210-AB210)*Q210)/(P210+Q210)-AB210))</f>
        <v>5.68540484513783e-8</v>
      </c>
      <c r="AG210" s="99">
        <f ca="1">MIN(MAX(Y210+IF(AU210&gt;0,B210*AZ210/AU210,0)+BE210-AD210,0),TEW)</f>
        <v>0.319248410050989</v>
      </c>
      <c r="AH210" s="99">
        <f ca="1">MIN(MAX(Z210+IF(AV210&gt;0,B210*BA210/AV210,0)+BF210-AE210,0),TEW)</f>
        <v>0.319248410050989</v>
      </c>
      <c r="AI210" s="99">
        <f ca="1" t="shared" si="34"/>
        <v>14.2160812513001</v>
      </c>
      <c r="AJ210" s="99">
        <f ca="1" t="shared" si="35"/>
        <v>2.7599752585381e-6</v>
      </c>
      <c r="AK210" s="70">
        <f ca="1">IF((AU210+AV210)&gt;0,(TEW-(AG210*AU210+AH210*AV210)/(AU210+AV210))/TEW,(TEW-(AG210+AH210)/2)/TEW)</f>
        <v>0.990362312149404</v>
      </c>
      <c r="AL210" s="70">
        <f ca="1" t="shared" si="36"/>
        <v>0.81638257633613</v>
      </c>
      <c r="AM210" s="70">
        <f ca="1" t="shared" si="37"/>
        <v>0.999998841029533</v>
      </c>
      <c r="AN210" s="70">
        <f ca="1">Wwp+(Wfc-Wwp)*IF((AU210+AV210)&gt;0,(TEW-(AG210*AU210+AH210*AV210)/(AU210+AV210))/TEW,(TEW-(AG210+AH210)/2)/TEW)</f>
        <v>0.398747100579423</v>
      </c>
      <c r="AO210" s="70">
        <f ca="1">Wwp+(Wfc-Wwp)*(R210-AI210)/R210</f>
        <v>0.376129734923697</v>
      </c>
      <c r="AP210" s="70">
        <f ca="1">Wwp+(Wfc-Wwp)*(S210-AJ210)/S210</f>
        <v>0.399999849333839</v>
      </c>
      <c r="AQ210" s="70"/>
      <c r="AR210" s="70"/>
      <c r="AS210" s="70"/>
      <c r="AT210" s="70"/>
      <c r="AU210" s="70">
        <f ca="1">MIN((1-G210),fw)</f>
        <v>0</v>
      </c>
      <c r="AV210" s="70">
        <f ca="1" t="shared" si="38"/>
        <v>0</v>
      </c>
      <c r="AW210" s="70">
        <f ca="1">MIN((TEW-Y210)/(TEW-REW),1)</f>
        <v>0.12727820001996</v>
      </c>
      <c r="AX210" s="70">
        <f ca="1">MIN((TEW-Z210)/(TEW-REW),1)</f>
        <v>0.12727820001996</v>
      </c>
      <c r="AY210" s="70">
        <f ca="1">IF((AU210*(TEW-Y210))&gt;0,1/(1+((AV210*(TEW-Z210))/(AU210*(TEW-Y210)))),0)</f>
        <v>0</v>
      </c>
      <c r="AZ210" s="70">
        <f ca="1">MIN((AY210*AW210*(Kcmax-H210)),AU210*Kcmax)</f>
        <v>0</v>
      </c>
      <c r="BA210" s="70">
        <f ca="1">MIN(((1-AY210)*AX210*(Kcmax-H210)),AV210*Kcmax)</f>
        <v>0</v>
      </c>
      <c r="BB210" s="70">
        <f ca="1" t="shared" si="39"/>
        <v>0</v>
      </c>
      <c r="BC210" s="70">
        <f ca="1">MIN((R210-AA210)/(R210*(1-(p+0.04*(5-I209)))),1)</f>
        <v>1</v>
      </c>
      <c r="BD210" s="10">
        <f ca="1" t="shared" si="40"/>
        <v>0.672083969736114</v>
      </c>
      <c r="BE210" s="70">
        <f ca="1">MIN(IF((1-AA210/R210)&gt;0,(1-Y210/TEW)/(1-AA210/R210)*(Ze/P210)^0.6,0),1)*BC210*H210*B210</f>
        <v>0.319248353196572</v>
      </c>
      <c r="BF210" s="70">
        <f ca="1">MIN(IF((1-AA210/R210)&gt;0,(1-Z210/TEW)/(1-AA210/R210)*(Ze/P210)^0.6,0),1)*BC210*H210*B210</f>
        <v>0.319248353196572</v>
      </c>
      <c r="BH210" s="10" t="str">
        <f ca="1" t="shared" si="41"/>
        <v/>
      </c>
      <c r="BI210" s="10" t="str">
        <f ca="1">IF(F210&lt;&gt;"",(Moy_Etobs-F210)^2,"")</f>
        <v/>
      </c>
    </row>
    <row r="211" spans="1:61">
      <c r="A211" s="38">
        <v>39204</v>
      </c>
      <c r="B211" s="10">
        <v>2.603</v>
      </c>
      <c r="C211" s="39">
        <v>13.662</v>
      </c>
      <c r="D211">
        <v>0.891</v>
      </c>
      <c r="E211" s="39">
        <v>0</v>
      </c>
      <c r="F211"/>
      <c r="G211" s="10">
        <f ca="1">MIN(MAX(IF(AND(Durpla&gt;ROW()-MATCH(NDVImax,INDEX(D:D,Lig_min,1):INDEX(D:D,Lig_max,1),0)-Lig_min+1,ROW()-MATCH(NDVImax,INDEX(D:D,Lig_min,1):INDEX(D:D,Lig_max,1),0)-Lig_min+1&gt;0,D211*a_fc+b_fc&gt;fc_fin),NDVImax*a_fc+b_fc,D211*a_fc+b_fc),0),1)</f>
        <v>1</v>
      </c>
      <c r="H211" s="55">
        <f>MIN(MAX(D211*a_kcb+b_kcb,0),Kcmax)</f>
        <v>1.11376697791866</v>
      </c>
      <c r="I211" s="70">
        <f ca="1" t="shared" si="33"/>
        <v>2.89913544352227</v>
      </c>
      <c r="O211" s="55"/>
      <c r="P211" s="35">
        <f ca="1">IF(ROW()-MATCH(NDVImax,INDEX(D:D,Lig_min,1):INDEX(D:D,Lig_max,1),0)-Lig_min+1&gt;0,MAX(MIN(Zr_min+MAX(INDEX(G:G,Lig_min,1):INDEX(G:G,Lig_max,1))/MAX(MAX(INDEX(G:G,Lig_min,1):INDEX(G:G,Lig_max,1)),Max_fc_pour_Zrmax)*(Zr_max-Zr_min),Zr_max),Ze+0.001),MAX(MIN(Zr_min+G211/MAX(MAX(INDEX(G:G,Lig_min,1):INDEX(G:G,Lig_max,1)),Max_fc_pour_Zrmax)*(Zr_max-Zr_min),Zr_max),Ze+0.001))</f>
        <v>595.55606968994</v>
      </c>
      <c r="Q211" s="35">
        <f ca="1">IF(Z_sol&gt;0,Z_sol-P211,0.1)</f>
        <v>18.318481374494</v>
      </c>
      <c r="R211" s="35">
        <f ca="1">(Wfc-Wwp)*P211</f>
        <v>77.4222890596922</v>
      </c>
      <c r="S211" s="35">
        <f ca="1">(Wfc-Wwp)*Q211</f>
        <v>2.38140257868422</v>
      </c>
      <c r="T211" s="99">
        <f ca="1" t="shared" si="42"/>
        <v>0.319248410050989</v>
      </c>
      <c r="U211" s="99">
        <f ca="1" t="shared" si="43"/>
        <v>0.319248410050989</v>
      </c>
      <c r="V211" s="99">
        <f ca="1">IF(P211&gt;P210,IF(Q211&gt;1,MAX(AI210+(Wfc-Wwp)*(P211-P210)*AJ210/S210,0),AI210/P210*P211),MAX(AI210+(Wfc-Wwp)*(P211-P210)*AI210/R210,0))</f>
        <v>14.2160812513001</v>
      </c>
      <c r="W211" s="99">
        <f ca="1">IF(S211&gt;1,IF(P211&gt;P210,MAX(AJ210-(Wfc-Wwp)*(P211-P210)*AJ210/S210,0),MAX(AJ210-(Wfc-Wwp)*(P211-P210)*AI210/R210,0)),0)</f>
        <v>2.7599752585381e-6</v>
      </c>
      <c r="X211" s="99">
        <f ca="1">IF(AND(OR(AND(dec_vide_TAW&lt;0,V211&gt;R211*(p+0.04*(5-I210))),AND(dec_vide_TAW&gt;0,V211&gt;R211*dec_vide_TAW)),H211&gt;MAX(INDEX(H:H,Lig_min,1):INDEX(H:H,ROW(X211),1))*Kcbmax_stop_irrig*IF(ROW(X211)-lig_kcbmax&gt;0,1,0),MIN(INDEX(H:H,ROW(X211),1):INDEX(H:H,lig_kcbmax,1))&gt;Kcbmin_start_irrig),MIN(MAX(V211-E211*Irri_man-C211,0),Lame_max),0)</f>
        <v>0</v>
      </c>
      <c r="Y211" s="99">
        <f ca="1">MIN(MAX(T211-C211-IF(fw&gt;0,X211/fw*Irri_auto+E211/fw*Irri_man,0),0),TEW)</f>
        <v>0</v>
      </c>
      <c r="Z211" s="99">
        <f ca="1">MIN(MAX(U211-C211,0),TEW)</f>
        <v>0</v>
      </c>
      <c r="AA211" s="99">
        <f ca="1">MIN(MAX(V211-C211-(X211*Irri_auto+E211*Irri_man),0),R211)</f>
        <v>0.554081251300117</v>
      </c>
      <c r="AB211" s="99">
        <f ca="1">MIN(MAX(W211+MIN(V211-C211-(X211*Irri_auto+E211*Irri_man),0),0),S211)</f>
        <v>2.7599752585381e-6</v>
      </c>
      <c r="AC211" s="99">
        <f ca="1">-MIN(W211+MIN(V211-C211-(X211*Irri_auto+E211*Irri_man),0),0)</f>
        <v>0</v>
      </c>
      <c r="AD211" s="39">
        <f ca="1">IF(((R211-AA211)/P211-((Wfc-Wwp)*Ze-Y211)/Ze)/Wfc*DiffE&lt;0,MAX(((R211-AA211)/P211-((Wfc-Wwp)*Ze-Y211)/Ze)/Wfc*DiffE,(R211*Ze-((Wfc-Wwp)*Ze-Y211-AA211)*P211)/(P211+Ze)-AA211),MIN(((R211-AA211)/P211-((Wfc-Wwp)*Ze-Y211)/Ze)/Wfc*DiffE,(R211*Ze-((Wfc-Wwp)*Ze-Y211-AA211)*P211)/(P211+Ze)-AA211))</f>
        <v>-2.32589876713284e-9</v>
      </c>
      <c r="AE211" s="39">
        <f ca="1">IF(((R211-AA211)/P211-((Wfc-Wwp)*Ze-Z211)/Ze)/Wfc*DiffE&lt;0,MAX(((R211-AA211)/P211-((Wfc-Wwp)*Ze-Z211)/Ze)/Wfc*DiffE,(R211*Ze-((Wfc-Wwp)*Ze-Z211-AA211)*P211)/(P211+Ze)-AA211),MIN(((R211-AA211)/P211-((Wfc-Wwp)*Ze-Z211)/Ze)/Wfc*DiffE,(R211*Ze-((Wfc-Wwp)*Ze-Z211-AA211)*P211)/(P211+Ze)-AA211))</f>
        <v>-2.32589876713284e-9</v>
      </c>
      <c r="AF211" s="39">
        <f ca="1">IF(((S211-AB211)/Q211-(R211-AA211)/P211)/Wfc*DiffR&lt;0,MAX(((S211-AB211)/Q211-(R211-AA211)/P211)/Wfc*DiffR,(S211*P211-(R211-AA211-AB211)*Q211)/(P211+Q211)-AB211),MIN(((S211-AB211)/Q211-(R211-AA211)/P211)/Wfc*DiffR,(S211*P211-(R211-AA211-AB211)*Q211)/(P211+Q211)-AB211))</f>
        <v>2.32552210173112e-9</v>
      </c>
      <c r="AG211" s="99">
        <f ca="1">MIN(MAX(Y211+IF(AU211&gt;0,B211*AZ211/AU211,0)+BE211-AD211,0),TEW)</f>
        <v>1.14440612348239</v>
      </c>
      <c r="AH211" s="99">
        <f ca="1">MIN(MAX(Z211+IF(AV211&gt;0,B211*BA211/AV211,0)+BF211-AE211,0),TEW)</f>
        <v>1.14440612348239</v>
      </c>
      <c r="AI211" s="99">
        <f ca="1" t="shared" si="34"/>
        <v>3.45321669249686</v>
      </c>
      <c r="AJ211" s="99">
        <f ca="1" t="shared" si="35"/>
        <v>2.76230078063983e-6</v>
      </c>
      <c r="AK211" s="70">
        <f ca="1">IF((AU211+AV211)&gt;0,(TEW-(AG211*AU211+AH211*AV211)/(AU211+AV211))/TEW,(TEW-(AG211+AH211)/2)/TEW)</f>
        <v>0.965451890611852</v>
      </c>
      <c r="AL211" s="70">
        <f ca="1" t="shared" si="36"/>
        <v>0.955397641500441</v>
      </c>
      <c r="AM211" s="70">
        <f ca="1" t="shared" si="37"/>
        <v>0.999998840052998</v>
      </c>
      <c r="AN211" s="70">
        <f ca="1">Wwp+(Wfc-Wwp)*IF((AU211+AV211)&gt;0,(TEW-(AG211*AU211+AH211*AV211)/(AU211+AV211))/TEW,(TEW-(AG211+AH211)/2)/TEW)</f>
        <v>0.395508745779541</v>
      </c>
      <c r="AO211" s="70">
        <f ca="1">Wwp+(Wfc-Wwp)*(R211-AI211)/R211</f>
        <v>0.394201693395057</v>
      </c>
      <c r="AP211" s="70">
        <f ca="1">Wwp+(Wfc-Wwp)*(S211-AJ211)/S211</f>
        <v>0.39999984920689</v>
      </c>
      <c r="AQ211" s="70"/>
      <c r="AR211" s="70"/>
      <c r="AS211" s="70"/>
      <c r="AT211" s="70"/>
      <c r="AU211" s="70">
        <f ca="1">MIN((1-G211),fw)</f>
        <v>0</v>
      </c>
      <c r="AV211" s="70">
        <f ca="1" t="shared" si="38"/>
        <v>0</v>
      </c>
      <c r="AW211" s="70">
        <f ca="1">MIN((TEW-Y211)/(TEW-REW),1)</f>
        <v>0.12727820001996</v>
      </c>
      <c r="AX211" s="70">
        <f ca="1">MIN((TEW-Z211)/(TEW-REW),1)</f>
        <v>0.12727820001996</v>
      </c>
      <c r="AY211" s="70">
        <f ca="1">IF((AU211*(TEW-Y211))&gt;0,1/(1+((AV211*(TEW-Z211))/(AU211*(TEW-Y211)))),0)</f>
        <v>0</v>
      </c>
      <c r="AZ211" s="70">
        <f ca="1">MIN((AY211*AW211*(Kcmax-H211)),AU211*Kcmax)</f>
        <v>0</v>
      </c>
      <c r="BA211" s="70">
        <f ca="1">MIN(((1-AY211)*AX211*(Kcmax-H211)),AV211*Kcmax)</f>
        <v>0</v>
      </c>
      <c r="BB211" s="70">
        <f ca="1" t="shared" si="39"/>
        <v>0</v>
      </c>
      <c r="BC211" s="70">
        <f ca="1">MIN((R211-AA211)/(R211*(1-(p+0.04*(5-I210)))),1)</f>
        <v>1</v>
      </c>
      <c r="BD211" s="10">
        <f ca="1" t="shared" si="40"/>
        <v>2.89913544352227</v>
      </c>
      <c r="BE211" s="70">
        <f ca="1">MIN(IF((1-AA211/R211)&gt;0,(1-Y211/TEW)/(1-AA211/R211)*(Ze/P211)^0.6,0),1)*BC211*H211*B211</f>
        <v>1.14440612115649</v>
      </c>
      <c r="BF211" s="70">
        <f ca="1">MIN(IF((1-AA211/R211)&gt;0,(1-Z211/TEW)/(1-AA211/R211)*(Ze/P211)^0.6,0),1)*BC211*H211*B211</f>
        <v>1.14440612115649</v>
      </c>
      <c r="BH211" s="10" t="str">
        <f ca="1" t="shared" si="41"/>
        <v/>
      </c>
      <c r="BI211" s="10" t="str">
        <f ca="1">IF(F211&lt;&gt;"",(Moy_Etobs-F211)^2,"")</f>
        <v/>
      </c>
    </row>
    <row r="212" spans="1:61">
      <c r="A212" s="38">
        <v>39205</v>
      </c>
      <c r="B212" s="10">
        <v>2.463</v>
      </c>
      <c r="C212" s="39">
        <v>1.584</v>
      </c>
      <c r="D212">
        <v>0.887</v>
      </c>
      <c r="E212" s="39">
        <v>0</v>
      </c>
      <c r="F212" s="10">
        <v>2.3966316</v>
      </c>
      <c r="G212" s="10">
        <f ca="1">MIN(MAX(IF(AND(Durpla&gt;ROW()-MATCH(NDVImax,INDEX(D:D,Lig_min,1):INDEX(D:D,Lig_max,1),0)-Lig_min+1,ROW()-MATCH(NDVImax,INDEX(D:D,Lig_min,1):INDEX(D:D,Lig_max,1),0)-Lig_min+1&gt;0,D212*a_fc+b_fc&gt;fc_fin),NDVImax*a_fc+b_fc,D212*a_fc+b_fc),0),1)</f>
        <v>1</v>
      </c>
      <c r="H212" s="55">
        <f>MIN(MAX(D212*a_kcb+b_kcb,0),Kcmax)</f>
        <v>1.10775474052099</v>
      </c>
      <c r="I212" s="70">
        <f ca="1" t="shared" si="33"/>
        <v>2.72839992590319</v>
      </c>
      <c r="O212" s="55"/>
      <c r="P212" s="35">
        <f ca="1">IF(ROW()-MATCH(NDVImax,INDEX(D:D,Lig_min,1):INDEX(D:D,Lig_max,1),0)-Lig_min+1&gt;0,MAX(MIN(Zr_min+MAX(INDEX(G:G,Lig_min,1):INDEX(G:G,Lig_max,1))/MAX(MAX(INDEX(G:G,Lig_min,1):INDEX(G:G,Lig_max,1)),Max_fc_pour_Zrmax)*(Zr_max-Zr_min),Zr_max),Ze+0.001),MAX(MIN(Zr_min+G212/MAX(MAX(INDEX(G:G,Lig_min,1):INDEX(G:G,Lig_max,1)),Max_fc_pour_Zrmax)*(Zr_max-Zr_min),Zr_max),Ze+0.001))</f>
        <v>595.55606968994</v>
      </c>
      <c r="Q212" s="35">
        <f ca="1">IF(Z_sol&gt;0,Z_sol-P212,0.1)</f>
        <v>18.318481374494</v>
      </c>
      <c r="R212" s="35">
        <f ca="1">(Wfc-Wwp)*P212</f>
        <v>77.4222890596922</v>
      </c>
      <c r="S212" s="35">
        <f ca="1">(Wfc-Wwp)*Q212</f>
        <v>2.38140257868422</v>
      </c>
      <c r="T212" s="99">
        <f ca="1" t="shared" si="42"/>
        <v>1.14440612348239</v>
      </c>
      <c r="U212" s="99">
        <f ca="1" t="shared" si="43"/>
        <v>1.14440612348239</v>
      </c>
      <c r="V212" s="99">
        <f ca="1">IF(P212&gt;P211,IF(Q212&gt;1,MAX(AI211+(Wfc-Wwp)*(P212-P211)*AJ211/S211,0),AI211/P211*P212),MAX(AI211+(Wfc-Wwp)*(P212-P211)*AI211/R211,0))</f>
        <v>3.45321669249686</v>
      </c>
      <c r="W212" s="99">
        <f ca="1">IF(S212&gt;1,IF(P212&gt;P211,MAX(AJ211-(Wfc-Wwp)*(P212-P211)*AJ211/S211,0),MAX(AJ211-(Wfc-Wwp)*(P212-P211)*AI211/R211,0)),0)</f>
        <v>2.76230078063983e-6</v>
      </c>
      <c r="X212" s="99">
        <f ca="1">IF(AND(OR(AND(dec_vide_TAW&lt;0,V212&gt;R212*(p+0.04*(5-I211))),AND(dec_vide_TAW&gt;0,V212&gt;R212*dec_vide_TAW)),H212&gt;MAX(INDEX(H:H,Lig_min,1):INDEX(H:H,ROW(X212),1))*Kcbmax_stop_irrig*IF(ROW(X212)-lig_kcbmax&gt;0,1,0),MIN(INDEX(H:H,ROW(X212),1):INDEX(H:H,lig_kcbmax,1))&gt;Kcbmin_start_irrig),MIN(MAX(V212-E212*Irri_man-C212,0),Lame_max),0)</f>
        <v>0</v>
      </c>
      <c r="Y212" s="99">
        <f ca="1">MIN(MAX(T212-C212-IF(fw&gt;0,X212/fw*Irri_auto+E212/fw*Irri_man,0),0),TEW)</f>
        <v>0</v>
      </c>
      <c r="Z212" s="99">
        <f ca="1">MIN(MAX(U212-C212,0),TEW)</f>
        <v>0</v>
      </c>
      <c r="AA212" s="99">
        <f ca="1">MIN(MAX(V212-C212-(X212*Irri_auto+E212*Irri_man),0),R212)</f>
        <v>1.86921669249686</v>
      </c>
      <c r="AB212" s="99">
        <f ca="1">MIN(MAX(W212+MIN(V212-C212-(X212*Irri_auto+E212*Irri_man),0),0),S212)</f>
        <v>2.76230078063983e-6</v>
      </c>
      <c r="AC212" s="99">
        <f ca="1">-MIN(W212+MIN(V212-C212-(X212*Irri_auto+E212*Irri_man),0),0)</f>
        <v>0</v>
      </c>
      <c r="AD212" s="39">
        <f ca="1">IF(((R212-AA212)/P212-((Wfc-Wwp)*Ze-Y212)/Ze)/Wfc*DiffE&lt;0,MAX(((R212-AA212)/P212-((Wfc-Wwp)*Ze-Y212)/Ze)/Wfc*DiffE,(R212*Ze-((Wfc-Wwp)*Ze-Y212-AA212)*P212)/(P212+Ze)-AA212),MIN(((R212-AA212)/P212-((Wfc-Wwp)*Ze-Y212)/Ze)/Wfc*DiffE,(R212*Ze-((Wfc-Wwp)*Ze-Y212-AA212)*P212)/(P212+Ze)-AA212))</f>
        <v>-7.84651852121169e-9</v>
      </c>
      <c r="AE212" s="39">
        <f ca="1">IF(((R212-AA212)/P212-((Wfc-Wwp)*Ze-Z212)/Ze)/Wfc*DiffE&lt;0,MAX(((R212-AA212)/P212-((Wfc-Wwp)*Ze-Z212)/Ze)/Wfc*DiffE,(R212*Ze-((Wfc-Wwp)*Ze-Z212-AA212)*P212)/(P212+Ze)-AA212),MIN(((R212-AA212)/P212-((Wfc-Wwp)*Ze-Z212)/Ze)/Wfc*DiffE,(R212*Ze-((Wfc-Wwp)*Ze-Z212-AA212)*P212)/(P212+Ze)-AA212))</f>
        <v>-7.84651852121169e-9</v>
      </c>
      <c r="AF212" s="39">
        <f ca="1">IF(((S212-AB212)/Q212-(R212-AA212)/P212)/Wfc*DiffR&lt;0,MAX(((S212-AB212)/Q212-(R212-AA212)/P212)/Wfc*DiffR,(S212*P212-(R212-AA212-AB212)*Q212)/(P212+Q212)-AB212),MIN(((S212-AB212)/Q212-(R212-AA212)/P212)/Wfc*DiffR,(S212*P212-(R212-AA212-AB212)*Q212)/(P212+Q212)-AB212))</f>
        <v>7.84614153843621e-9</v>
      </c>
      <c r="AG212" s="99">
        <f ca="1">MIN(MAX(Y212+IF(AU212&gt;0,B212*AZ212/AU212,0)+BE212-AD212,0),TEW)</f>
        <v>1.09575717913599</v>
      </c>
      <c r="AH212" s="99">
        <f ca="1">MIN(MAX(Z212+IF(AV212&gt;0,B212*BA212/AV212,0)+BF212-AE212,0),TEW)</f>
        <v>1.09575717913599</v>
      </c>
      <c r="AI212" s="99">
        <f ca="1" t="shared" si="34"/>
        <v>4.59761661055392</v>
      </c>
      <c r="AJ212" s="99">
        <f ca="1" t="shared" si="35"/>
        <v>2.77014692217827e-6</v>
      </c>
      <c r="AK212" s="70">
        <f ca="1">IF((AU212+AV212)&gt;0,(TEW-(AG212*AU212+AH212*AV212)/(AU212+AV212))/TEW,(TEW-(AG212+AH212)/2)/TEW)</f>
        <v>0.966920537988347</v>
      </c>
      <c r="AL212" s="70">
        <f ca="1" t="shared" si="36"/>
        <v>0.940616369440986</v>
      </c>
      <c r="AM212" s="70">
        <f ca="1" t="shared" si="37"/>
        <v>0.999998836758242</v>
      </c>
      <c r="AN212" s="70">
        <f ca="1">Wwp+(Wfc-Wwp)*IF((AU212+AV212)&gt;0,(TEW-(AG212*AU212+AH212*AV212)/(AU212+AV212))/TEW,(TEW-(AG212+AH212)/2)/TEW)</f>
        <v>0.395699669938485</v>
      </c>
      <c r="AO212" s="70">
        <f ca="1">Wwp+(Wfc-Wwp)*(R212-AI212)/R212</f>
        <v>0.392280128027328</v>
      </c>
      <c r="AP212" s="70">
        <f ca="1">Wwp+(Wfc-Wwp)*(S212-AJ212)/S212</f>
        <v>0.399999848778571</v>
      </c>
      <c r="AQ212" s="70"/>
      <c r="AR212" s="70"/>
      <c r="AS212" s="70"/>
      <c r="AT212" s="70"/>
      <c r="AU212" s="70">
        <f ca="1">MIN((1-G212),fw)</f>
        <v>0</v>
      </c>
      <c r="AV212" s="70">
        <f ca="1" t="shared" si="38"/>
        <v>0</v>
      </c>
      <c r="AW212" s="70">
        <f ca="1">MIN((TEW-Y212)/(TEW-REW),1)</f>
        <v>0.12727820001996</v>
      </c>
      <c r="AX212" s="70">
        <f ca="1">MIN((TEW-Z212)/(TEW-REW),1)</f>
        <v>0.12727820001996</v>
      </c>
      <c r="AY212" s="70">
        <f ca="1">IF((AU212*(TEW-Y212))&gt;0,1/(1+((AV212*(TEW-Z212))/(AU212*(TEW-Y212)))),0)</f>
        <v>0</v>
      </c>
      <c r="AZ212" s="70">
        <f ca="1">MIN((AY212*AW212*(Kcmax-H212)),AU212*Kcmax)</f>
        <v>0</v>
      </c>
      <c r="BA212" s="70">
        <f ca="1">MIN(((1-AY212)*AX212*(Kcmax-H212)),AV212*Kcmax)</f>
        <v>0</v>
      </c>
      <c r="BB212" s="70">
        <f ca="1" t="shared" si="39"/>
        <v>0</v>
      </c>
      <c r="BC212" s="70">
        <f ca="1">MIN((R212-AA212)/(R212*(1-(p+0.04*(5-I211)))),1)</f>
        <v>1</v>
      </c>
      <c r="BD212" s="10">
        <f ca="1" t="shared" si="40"/>
        <v>2.72839992590319</v>
      </c>
      <c r="BE212" s="70">
        <f ca="1">MIN(IF((1-AA212/R212)&gt;0,(1-Y212/TEW)/(1-AA212/R212)*(Ze/P212)^0.6,0),1)*BC212*H212*B212</f>
        <v>1.09575717128948</v>
      </c>
      <c r="BF212" s="70">
        <f ca="1">MIN(IF((1-AA212/R212)&gt;0,(1-Z212/TEW)/(1-AA212/R212)*(Ze/P212)^0.6,0),1)*BC212*H212*B212</f>
        <v>1.09575717128948</v>
      </c>
      <c r="BH212" s="10">
        <f ca="1" t="shared" si="41"/>
        <v>0.110070222072607</v>
      </c>
      <c r="BI212" s="10">
        <f ca="1">IF(F212&lt;&gt;"",(Moy_Etobs-F212)^2,"")</f>
        <v>0.620564285245878</v>
      </c>
    </row>
    <row r="213" spans="1:61">
      <c r="A213" s="38">
        <v>39206</v>
      </c>
      <c r="B213" s="10">
        <v>2.309</v>
      </c>
      <c r="C213" s="39">
        <v>10.692</v>
      </c>
      <c r="D213">
        <v>0.883</v>
      </c>
      <c r="E213" s="39">
        <v>0</v>
      </c>
      <c r="F213" s="10">
        <v>3.198195</v>
      </c>
      <c r="G213" s="10">
        <f ca="1">MIN(MAX(IF(AND(Durpla&gt;ROW()-MATCH(NDVImax,INDEX(D:D,Lig_min,1):INDEX(D:D,Lig_max,1),0)-Lig_min+1,ROW()-MATCH(NDVImax,INDEX(D:D,Lig_min,1):INDEX(D:D,Lig_max,1),0)-Lig_min+1&gt;0,D213*a_fc+b_fc&gt;fc_fin),NDVImax*a_fc+b_fc,D213*a_fc+b_fc),0),1)</f>
        <v>1</v>
      </c>
      <c r="H213" s="55">
        <f>MIN(MAX(D213*a_kcb+b_kcb,0),Kcmax)</f>
        <v>1.10174250312332</v>
      </c>
      <c r="I213" s="70">
        <f ca="1" t="shared" si="33"/>
        <v>2.54392343971174</v>
      </c>
      <c r="O213" s="55"/>
      <c r="P213" s="35">
        <f ca="1">IF(ROW()-MATCH(NDVImax,INDEX(D:D,Lig_min,1):INDEX(D:D,Lig_max,1),0)-Lig_min+1&gt;0,MAX(MIN(Zr_min+MAX(INDEX(G:G,Lig_min,1):INDEX(G:G,Lig_max,1))/MAX(MAX(INDEX(G:G,Lig_min,1):INDEX(G:G,Lig_max,1)),Max_fc_pour_Zrmax)*(Zr_max-Zr_min),Zr_max),Ze+0.001),MAX(MIN(Zr_min+G213/MAX(MAX(INDEX(G:G,Lig_min,1):INDEX(G:G,Lig_max,1)),Max_fc_pour_Zrmax)*(Zr_max-Zr_min),Zr_max),Ze+0.001))</f>
        <v>595.55606968994</v>
      </c>
      <c r="Q213" s="35">
        <f ca="1">IF(Z_sol&gt;0,Z_sol-P213,0.1)</f>
        <v>18.318481374494</v>
      </c>
      <c r="R213" s="35">
        <f ca="1">(Wfc-Wwp)*P213</f>
        <v>77.4222890596922</v>
      </c>
      <c r="S213" s="35">
        <f ca="1">(Wfc-Wwp)*Q213</f>
        <v>2.38140257868422</v>
      </c>
      <c r="T213" s="99">
        <f ca="1" t="shared" si="42"/>
        <v>1.09575717913599</v>
      </c>
      <c r="U213" s="99">
        <f ca="1" t="shared" si="43"/>
        <v>1.09575717913599</v>
      </c>
      <c r="V213" s="99">
        <f ca="1">IF(P213&gt;P212,IF(Q213&gt;1,MAX(AI212+(Wfc-Wwp)*(P213-P212)*AJ212/S212,0),AI212/P212*P213),MAX(AI212+(Wfc-Wwp)*(P213-P212)*AI212/R212,0))</f>
        <v>4.59761661055392</v>
      </c>
      <c r="W213" s="99">
        <f ca="1">IF(S213&gt;1,IF(P213&gt;P212,MAX(AJ212-(Wfc-Wwp)*(P213-P212)*AJ212/S212,0),MAX(AJ212-(Wfc-Wwp)*(P213-P212)*AI212/R212,0)),0)</f>
        <v>2.77014692217827e-6</v>
      </c>
      <c r="X213" s="99">
        <f ca="1">IF(AND(OR(AND(dec_vide_TAW&lt;0,V213&gt;R213*(p+0.04*(5-I212))),AND(dec_vide_TAW&gt;0,V213&gt;R213*dec_vide_TAW)),H213&gt;MAX(INDEX(H:H,Lig_min,1):INDEX(H:H,ROW(X213),1))*Kcbmax_stop_irrig*IF(ROW(X213)-lig_kcbmax&gt;0,1,0),MIN(INDEX(H:H,ROW(X213),1):INDEX(H:H,lig_kcbmax,1))&gt;Kcbmin_start_irrig),MIN(MAX(V213-E213*Irri_man-C213,0),Lame_max),0)</f>
        <v>0</v>
      </c>
      <c r="Y213" s="99">
        <f ca="1">MIN(MAX(T213-C213-IF(fw&gt;0,X213/fw*Irri_auto+E213/fw*Irri_man,0),0),TEW)</f>
        <v>0</v>
      </c>
      <c r="Z213" s="99">
        <f ca="1">MIN(MAX(U213-C213,0),TEW)</f>
        <v>0</v>
      </c>
      <c r="AA213" s="99">
        <f ca="1">MIN(MAX(V213-C213-(X213*Irri_auto+E213*Irri_man),0),R213)</f>
        <v>0</v>
      </c>
      <c r="AB213" s="99">
        <f ca="1">MIN(MAX(W213+MIN(V213-C213-(X213*Irri_auto+E213*Irri_man),0),0),S213)</f>
        <v>0</v>
      </c>
      <c r="AC213" s="99">
        <f ca="1">-MIN(W213+MIN(V213-C213-(X213*Irri_auto+E213*Irri_man),0),0)</f>
        <v>6.09438061929916</v>
      </c>
      <c r="AD213" s="39">
        <f ca="1">IF(((R213-AA213)/P213-((Wfc-Wwp)*Ze-Y213)/Ze)/Wfc*DiffE&lt;0,MAX(((R213-AA213)/P213-((Wfc-Wwp)*Ze-Y213)/Ze)/Wfc*DiffE,(R213*Ze-((Wfc-Wwp)*Ze-Y213-AA213)*P213)/(P213+Ze)-AA213),MIN(((R213-AA213)/P213-((Wfc-Wwp)*Ze-Y213)/Ze)/Wfc*DiffE,(R213*Ze-((Wfc-Wwp)*Ze-Y213-AA213)*P213)/(P213+Ze)-AA213))</f>
        <v>0</v>
      </c>
      <c r="AE213" s="39">
        <f ca="1">IF(((R213-AA213)/P213-((Wfc-Wwp)*Ze-Z213)/Ze)/Wfc*DiffE&lt;0,MAX(((R213-AA213)/P213-((Wfc-Wwp)*Ze-Z213)/Ze)/Wfc*DiffE,(R213*Ze-((Wfc-Wwp)*Ze-Z213-AA213)*P213)/(P213+Ze)-AA213),MIN(((R213-AA213)/P213-((Wfc-Wwp)*Ze-Z213)/Ze)/Wfc*DiffE,(R213*Ze-((Wfc-Wwp)*Ze-Z213-AA213)*P213)/(P213+Ze)-AA213))</f>
        <v>0</v>
      </c>
      <c r="AF213" s="39">
        <f ca="1">IF(((S213-AB213)/Q213-(R213-AA213)/P213)/Wfc*DiffR&lt;0,MAX(((S213-AB213)/Q213-(R213-AA213)/P213)/Wfc*DiffR,(S213*P213-(R213-AA213-AB213)*Q213)/(P213+Q213)-AB213),MIN(((S213-AB213)/Q213-(R213-AA213)/P213)/Wfc*DiffR,(S213*P213-(R213-AA213-AB213)*Q213)/(P213+Q213)-AB213))</f>
        <v>0</v>
      </c>
      <c r="AG213" s="99">
        <f ca="1">MIN(MAX(Y213+IF(AU213&gt;0,B213*AZ213/AU213,0)+BE213-AD213,0),TEW)</f>
        <v>0.997002969036136</v>
      </c>
      <c r="AH213" s="99">
        <f ca="1">MIN(MAX(Z213+IF(AV213&gt;0,B213*BA213/AV213,0)+BF213-AE213,0),TEW)</f>
        <v>0.997002969036136</v>
      </c>
      <c r="AI213" s="99">
        <f ca="1" t="shared" si="34"/>
        <v>2.54392343971174</v>
      </c>
      <c r="AJ213" s="99">
        <f ca="1" t="shared" si="35"/>
        <v>0</v>
      </c>
      <c r="AK213" s="70">
        <f ca="1">IF((AU213+AV213)&gt;0,(TEW-(AG213*AU213+AH213*AV213)/(AU213+AV213))/TEW,(TEW-(AG213+AH213)/2)/TEW)</f>
        <v>0.969901797161173</v>
      </c>
      <c r="AL213" s="70">
        <f ca="1" t="shared" si="36"/>
        <v>0.96714223422469</v>
      </c>
      <c r="AM213" s="70">
        <f ca="1" t="shared" si="37"/>
        <v>1</v>
      </c>
      <c r="AN213" s="70">
        <f ca="1">Wwp+(Wfc-Wwp)*IF((AU213+AV213)&gt;0,(TEW-(AG213*AU213+AH213*AV213)/(AU213+AV213))/TEW,(TEW-(AG213+AH213)/2)/TEW)</f>
        <v>0.396087233630953</v>
      </c>
      <c r="AO213" s="70">
        <f ca="1">Wwp+(Wfc-Wwp)*(R213-AI213)/R213</f>
        <v>0.39572849044921</v>
      </c>
      <c r="AP213" s="70">
        <f ca="1">Wwp+(Wfc-Wwp)*(S213-AJ213)/S213</f>
        <v>0.4</v>
      </c>
      <c r="AQ213" s="70"/>
      <c r="AR213" s="70"/>
      <c r="AS213" s="70"/>
      <c r="AT213" s="70"/>
      <c r="AU213" s="70">
        <f ca="1">MIN((1-G213),fw)</f>
        <v>0</v>
      </c>
      <c r="AV213" s="70">
        <f ca="1" t="shared" si="38"/>
        <v>0</v>
      </c>
      <c r="AW213" s="70">
        <f ca="1">MIN((TEW-Y213)/(TEW-REW),1)</f>
        <v>0.12727820001996</v>
      </c>
      <c r="AX213" s="70">
        <f ca="1">MIN((TEW-Z213)/(TEW-REW),1)</f>
        <v>0.12727820001996</v>
      </c>
      <c r="AY213" s="70">
        <f ca="1">IF((AU213*(TEW-Y213))&gt;0,1/(1+((AV213*(TEW-Z213))/(AU213*(TEW-Y213)))),0)</f>
        <v>0</v>
      </c>
      <c r="AZ213" s="70">
        <f ca="1">MIN((AY213*AW213*(Kcmax-H213)),AU213*Kcmax)</f>
        <v>0</v>
      </c>
      <c r="BA213" s="70">
        <f ca="1">MIN(((1-AY213)*AX213*(Kcmax-H213)),AV213*Kcmax)</f>
        <v>0</v>
      </c>
      <c r="BB213" s="70">
        <f ca="1" t="shared" si="39"/>
        <v>0</v>
      </c>
      <c r="BC213" s="70">
        <f ca="1">MIN((R213-AA213)/(R213*(1-(p+0.04*(5-I212)))),1)</f>
        <v>1</v>
      </c>
      <c r="BD213" s="10">
        <f ca="1" t="shared" si="40"/>
        <v>2.54392343971174</v>
      </c>
      <c r="BE213" s="70">
        <f ca="1">MIN(IF((1-AA213/R213)&gt;0,(1-Y213/TEW)/(1-AA213/R213)*(Ze/P213)^0.6,0),1)*BC213*H213*B213</f>
        <v>0.997002969036136</v>
      </c>
      <c r="BF213" s="70">
        <f ca="1">MIN(IF((1-AA213/R213)&gt;0,(1-Z213/TEW)/(1-AA213/R213)*(Ze/P213)^0.6,0),1)*BC213*H213*B213</f>
        <v>0.997002969036136</v>
      </c>
      <c r="BH213" s="10">
        <f ca="1" t="shared" si="41"/>
        <v>0.428071274602039</v>
      </c>
      <c r="BI213" s="10">
        <f ca="1">IF(F213&lt;&gt;"",(Moy_Etobs-F213)^2,"")</f>
        <v>2.52594577822792</v>
      </c>
    </row>
    <row r="214" spans="1:61">
      <c r="A214" s="38">
        <v>39207</v>
      </c>
      <c r="B214" s="10">
        <v>2.141</v>
      </c>
      <c r="C214" s="39">
        <v>2.574</v>
      </c>
      <c r="D214">
        <v>0.88</v>
      </c>
      <c r="E214" s="39">
        <v>0</v>
      </c>
      <c r="F214" s="10">
        <v>2.9262906</v>
      </c>
      <c r="G214" s="10">
        <f ca="1">MIN(MAX(IF(AND(Durpla&gt;ROW()-MATCH(NDVImax,INDEX(D:D,Lig_min,1):INDEX(D:D,Lig_max,1),0)-Lig_min+1,ROW()-MATCH(NDVImax,INDEX(D:D,Lig_min,1):INDEX(D:D,Lig_max,1),0)-Lig_min+1&gt;0,D214*a_fc+b_fc&gt;fc_fin),NDVImax*a_fc+b_fc,D214*a_fc+b_fc),0),1)</f>
        <v>1</v>
      </c>
      <c r="H214" s="55">
        <f>MIN(MAX(D214*a_kcb+b_kcb,0),Kcmax)</f>
        <v>1.09723332507506</v>
      </c>
      <c r="I214" s="70">
        <f ca="1" t="shared" si="33"/>
        <v>2.34917654898571</v>
      </c>
      <c r="O214" s="55"/>
      <c r="P214" s="35">
        <f ca="1">IF(ROW()-MATCH(NDVImax,INDEX(D:D,Lig_min,1):INDEX(D:D,Lig_max,1),0)-Lig_min+1&gt;0,MAX(MIN(Zr_min+MAX(INDEX(G:G,Lig_min,1):INDEX(G:G,Lig_max,1))/MAX(MAX(INDEX(G:G,Lig_min,1):INDEX(G:G,Lig_max,1)),Max_fc_pour_Zrmax)*(Zr_max-Zr_min),Zr_max),Ze+0.001),MAX(MIN(Zr_min+G214/MAX(MAX(INDEX(G:G,Lig_min,1):INDEX(G:G,Lig_max,1)),Max_fc_pour_Zrmax)*(Zr_max-Zr_min),Zr_max),Ze+0.001))</f>
        <v>595.55606968994</v>
      </c>
      <c r="Q214" s="35">
        <f ca="1">IF(Z_sol&gt;0,Z_sol-P214,0.1)</f>
        <v>18.318481374494</v>
      </c>
      <c r="R214" s="35">
        <f ca="1">(Wfc-Wwp)*P214</f>
        <v>77.4222890596922</v>
      </c>
      <c r="S214" s="35">
        <f ca="1">(Wfc-Wwp)*Q214</f>
        <v>2.38140257868422</v>
      </c>
      <c r="T214" s="99">
        <f ca="1" t="shared" si="42"/>
        <v>0.997002969036136</v>
      </c>
      <c r="U214" s="99">
        <f ca="1" t="shared" si="43"/>
        <v>0.997002969036136</v>
      </c>
      <c r="V214" s="99">
        <f ca="1">IF(P214&gt;P213,IF(Q214&gt;1,MAX(AI213+(Wfc-Wwp)*(P214-P213)*AJ213/S213,0),AI213/P213*P214),MAX(AI213+(Wfc-Wwp)*(P214-P213)*AI213/R213,0))</f>
        <v>2.54392343971174</v>
      </c>
      <c r="W214" s="99">
        <f ca="1">IF(S214&gt;1,IF(P214&gt;P213,MAX(AJ213-(Wfc-Wwp)*(P214-P213)*AJ213/S213,0),MAX(AJ213-(Wfc-Wwp)*(P214-P213)*AI213/R213,0)),0)</f>
        <v>0</v>
      </c>
      <c r="X214" s="99">
        <f ca="1">IF(AND(OR(AND(dec_vide_TAW&lt;0,V214&gt;R214*(p+0.04*(5-I213))),AND(dec_vide_TAW&gt;0,V214&gt;R214*dec_vide_TAW)),H214&gt;MAX(INDEX(H:H,Lig_min,1):INDEX(H:H,ROW(X214),1))*Kcbmax_stop_irrig*IF(ROW(X214)-lig_kcbmax&gt;0,1,0),MIN(INDEX(H:H,ROW(X214),1):INDEX(H:H,lig_kcbmax,1))&gt;Kcbmin_start_irrig),MIN(MAX(V214-E214*Irri_man-C214,0),Lame_max),0)</f>
        <v>0</v>
      </c>
      <c r="Y214" s="99">
        <f ca="1">MIN(MAX(T214-C214-IF(fw&gt;0,X214/fw*Irri_auto+E214/fw*Irri_man,0),0),TEW)</f>
        <v>0</v>
      </c>
      <c r="Z214" s="99">
        <f ca="1">MIN(MAX(U214-C214,0),TEW)</f>
        <v>0</v>
      </c>
      <c r="AA214" s="99">
        <f ca="1">MIN(MAX(V214-C214-(X214*Irri_auto+E214*Irri_man),0),R214)</f>
        <v>0</v>
      </c>
      <c r="AB214" s="99">
        <f ca="1">MIN(MAX(W214+MIN(V214-C214-(X214*Irri_auto+E214*Irri_man),0),0),S214)</f>
        <v>0</v>
      </c>
      <c r="AC214" s="99">
        <f ca="1">-MIN(W214+MIN(V214-C214-(X214*Irri_auto+E214*Irri_man),0),0)</f>
        <v>0.0300765602882636</v>
      </c>
      <c r="AD214" s="39">
        <f ca="1">IF(((R214-AA214)/P214-((Wfc-Wwp)*Ze-Y214)/Ze)/Wfc*DiffE&lt;0,MAX(((R214-AA214)/P214-((Wfc-Wwp)*Ze-Y214)/Ze)/Wfc*DiffE,(R214*Ze-((Wfc-Wwp)*Ze-Y214-AA214)*P214)/(P214+Ze)-AA214),MIN(((R214-AA214)/P214-((Wfc-Wwp)*Ze-Y214)/Ze)/Wfc*DiffE,(R214*Ze-((Wfc-Wwp)*Ze-Y214-AA214)*P214)/(P214+Ze)-AA214))</f>
        <v>0</v>
      </c>
      <c r="AE214" s="39">
        <f ca="1">IF(((R214-AA214)/P214-((Wfc-Wwp)*Ze-Z214)/Ze)/Wfc*DiffE&lt;0,MAX(((R214-AA214)/P214-((Wfc-Wwp)*Ze-Z214)/Ze)/Wfc*DiffE,(R214*Ze-((Wfc-Wwp)*Ze-Z214-AA214)*P214)/(P214+Ze)-AA214),MIN(((R214-AA214)/P214-((Wfc-Wwp)*Ze-Z214)/Ze)/Wfc*DiffE,(R214*Ze-((Wfc-Wwp)*Ze-Z214-AA214)*P214)/(P214+Ze)-AA214))</f>
        <v>0</v>
      </c>
      <c r="AF214" s="39">
        <f ca="1">IF(((S214-AB214)/Q214-(R214-AA214)/P214)/Wfc*DiffR&lt;0,MAX(((S214-AB214)/Q214-(R214-AA214)/P214)/Wfc*DiffR,(S214*P214-(R214-AA214-AB214)*Q214)/(P214+Q214)-AB214),MIN(((S214-AB214)/Q214-(R214-AA214)/P214)/Wfc*DiffR,(S214*P214-(R214-AA214-AB214)*Q214)/(P214+Q214)-AB214))</f>
        <v>0</v>
      </c>
      <c r="AG214" s="99">
        <f ca="1">MIN(MAX(Y214+IF(AU214&gt;0,B214*AZ214/AU214,0)+BE214-AD214,0),TEW)</f>
        <v>0.920678648408623</v>
      </c>
      <c r="AH214" s="99">
        <f ca="1">MIN(MAX(Z214+IF(AV214&gt;0,B214*BA214/AV214,0)+BF214-AE214,0),TEW)</f>
        <v>0.920678648408623</v>
      </c>
      <c r="AI214" s="99">
        <f ca="1" t="shared" si="34"/>
        <v>2.34917654898571</v>
      </c>
      <c r="AJ214" s="99">
        <f ca="1" t="shared" si="35"/>
        <v>0</v>
      </c>
      <c r="AK214" s="70">
        <f ca="1">IF((AU214+AV214)&gt;0,(TEW-(AG214*AU214+AH214*AV214)/(AU214+AV214))/TEW,(TEW-(AG214+AH214)/2)/TEW)</f>
        <v>0.972205927595211</v>
      </c>
      <c r="AL214" s="70">
        <f ca="1" t="shared" si="36"/>
        <v>0.969657619562572</v>
      </c>
      <c r="AM214" s="70">
        <f ca="1" t="shared" si="37"/>
        <v>1</v>
      </c>
      <c r="AN214" s="70">
        <f ca="1">Wwp+(Wfc-Wwp)*IF((AU214+AV214)&gt;0,(TEW-(AG214*AU214+AH214*AV214)/(AU214+AV214))/TEW,(TEW-(AG214+AH214)/2)/TEW)</f>
        <v>0.396386770587377</v>
      </c>
      <c r="AO214" s="70">
        <f ca="1">Wwp+(Wfc-Wwp)*(R214-AI214)/R214</f>
        <v>0.396055490543134</v>
      </c>
      <c r="AP214" s="70">
        <f ca="1">Wwp+(Wfc-Wwp)*(S214-AJ214)/S214</f>
        <v>0.4</v>
      </c>
      <c r="AQ214" s="70"/>
      <c r="AR214" s="70"/>
      <c r="AS214" s="70"/>
      <c r="AT214" s="70"/>
      <c r="AU214" s="70">
        <f ca="1">MIN((1-G214),fw)</f>
        <v>0</v>
      </c>
      <c r="AV214" s="70">
        <f ca="1" t="shared" si="38"/>
        <v>0</v>
      </c>
      <c r="AW214" s="70">
        <f ca="1">MIN((TEW-Y214)/(TEW-REW),1)</f>
        <v>0.12727820001996</v>
      </c>
      <c r="AX214" s="70">
        <f ca="1">MIN((TEW-Z214)/(TEW-REW),1)</f>
        <v>0.12727820001996</v>
      </c>
      <c r="AY214" s="70">
        <f ca="1">IF((AU214*(TEW-Y214))&gt;0,1/(1+((AV214*(TEW-Z214))/(AU214*(TEW-Y214)))),0)</f>
        <v>0</v>
      </c>
      <c r="AZ214" s="70">
        <f ca="1">MIN((AY214*AW214*(Kcmax-H214)),AU214*Kcmax)</f>
        <v>0</v>
      </c>
      <c r="BA214" s="70">
        <f ca="1">MIN(((1-AY214)*AX214*(Kcmax-H214)),AV214*Kcmax)</f>
        <v>0</v>
      </c>
      <c r="BB214" s="70">
        <f ca="1" t="shared" si="39"/>
        <v>0</v>
      </c>
      <c r="BC214" s="70">
        <f ca="1">MIN((R214-AA214)/(R214*(1-(p+0.04*(5-I213)))),1)</f>
        <v>1</v>
      </c>
      <c r="BD214" s="10">
        <f ca="1" t="shared" si="40"/>
        <v>2.34917654898571</v>
      </c>
      <c r="BE214" s="70">
        <f ca="1">MIN(IF((1-AA214/R214)&gt;0,(1-Y214/TEW)/(1-AA214/R214)*(Ze/P214)^0.6,0),1)*BC214*H214*B214</f>
        <v>0.920678648408623</v>
      </c>
      <c r="BF214" s="70">
        <f ca="1">MIN(IF((1-AA214/R214)&gt;0,(1-Z214/TEW)/(1-AA214/R214)*(Ze/P214)^0.6,0),1)*BC214*H214*B214</f>
        <v>0.920678648408623</v>
      </c>
      <c r="BH214" s="10">
        <f ca="1" t="shared" si="41"/>
        <v>0.333060627878127</v>
      </c>
      <c r="BI214" s="10">
        <f ca="1">IF(F214&lt;&gt;"",(Moy_Etobs-F214)^2,"")</f>
        <v>1.73559025891129</v>
      </c>
    </row>
    <row r="215" spans="1:61">
      <c r="A215" s="38">
        <v>39208</v>
      </c>
      <c r="B215" s="10">
        <v>3.161</v>
      </c>
      <c r="C215" s="39">
        <v>2.97</v>
      </c>
      <c r="D215">
        <v>0.876</v>
      </c>
      <c r="E215" s="39">
        <v>0</v>
      </c>
      <c r="F215" s="10">
        <v>4.1173524</v>
      </c>
      <c r="G215" s="10">
        <f ca="1">MIN(MAX(IF(AND(Durpla&gt;ROW()-MATCH(NDVImax,INDEX(D:D,Lig_min,1):INDEX(D:D,Lig_max,1),0)-Lig_min+1,ROW()-MATCH(NDVImax,INDEX(D:D,Lig_min,1):INDEX(D:D,Lig_max,1),0)-Lig_min+1&gt;0,D215*a_fc+b_fc&gt;fc_fin),NDVImax*a_fc+b_fc,D215*a_fc+b_fc),0),1)</f>
        <v>1</v>
      </c>
      <c r="H215" s="55">
        <f>MIN(MAX(D215*a_kcb+b_kcb,0),Kcmax)</f>
        <v>1.09122108767739</v>
      </c>
      <c r="I215" s="70">
        <f ca="1" t="shared" si="33"/>
        <v>3.44934985814823</v>
      </c>
      <c r="O215" s="55"/>
      <c r="P215" s="35">
        <f ca="1">IF(ROW()-MATCH(NDVImax,INDEX(D:D,Lig_min,1):INDEX(D:D,Lig_max,1),0)-Lig_min+1&gt;0,MAX(MIN(Zr_min+MAX(INDEX(G:G,Lig_min,1):INDEX(G:G,Lig_max,1))/MAX(MAX(INDEX(G:G,Lig_min,1):INDEX(G:G,Lig_max,1)),Max_fc_pour_Zrmax)*(Zr_max-Zr_min),Zr_max),Ze+0.001),MAX(MIN(Zr_min+G215/MAX(MAX(INDEX(G:G,Lig_min,1):INDEX(G:G,Lig_max,1)),Max_fc_pour_Zrmax)*(Zr_max-Zr_min),Zr_max),Ze+0.001))</f>
        <v>595.55606968994</v>
      </c>
      <c r="Q215" s="35">
        <f ca="1">IF(Z_sol&gt;0,Z_sol-P215,0.1)</f>
        <v>18.318481374494</v>
      </c>
      <c r="R215" s="35">
        <f ca="1">(Wfc-Wwp)*P215</f>
        <v>77.4222890596922</v>
      </c>
      <c r="S215" s="35">
        <f ca="1">(Wfc-Wwp)*Q215</f>
        <v>2.38140257868422</v>
      </c>
      <c r="T215" s="99">
        <f ca="1" t="shared" si="42"/>
        <v>0.920678648408623</v>
      </c>
      <c r="U215" s="99">
        <f ca="1" t="shared" si="43"/>
        <v>0.920678648408623</v>
      </c>
      <c r="V215" s="99">
        <f ca="1">IF(P215&gt;P214,IF(Q215&gt;1,MAX(AI214+(Wfc-Wwp)*(P215-P214)*AJ214/S214,0),AI214/P214*P215),MAX(AI214+(Wfc-Wwp)*(P215-P214)*AI214/R214,0))</f>
        <v>2.34917654898571</v>
      </c>
      <c r="W215" s="99">
        <f ca="1">IF(S215&gt;1,IF(P215&gt;P214,MAX(AJ214-(Wfc-Wwp)*(P215-P214)*AJ214/S214,0),MAX(AJ214-(Wfc-Wwp)*(P215-P214)*AI214/R214,0)),0)</f>
        <v>0</v>
      </c>
      <c r="X215" s="99">
        <f ca="1">IF(AND(OR(AND(dec_vide_TAW&lt;0,V215&gt;R215*(p+0.04*(5-I214))),AND(dec_vide_TAW&gt;0,V215&gt;R215*dec_vide_TAW)),H215&gt;MAX(INDEX(H:H,Lig_min,1):INDEX(H:H,ROW(X215),1))*Kcbmax_stop_irrig*IF(ROW(X215)-lig_kcbmax&gt;0,1,0),MIN(INDEX(H:H,ROW(X215),1):INDEX(H:H,lig_kcbmax,1))&gt;Kcbmin_start_irrig),MIN(MAX(V215-E215*Irri_man-C215,0),Lame_max),0)</f>
        <v>0</v>
      </c>
      <c r="Y215" s="99">
        <f ca="1">MIN(MAX(T215-C215-IF(fw&gt;0,X215/fw*Irri_auto+E215/fw*Irri_man,0),0),TEW)</f>
        <v>0</v>
      </c>
      <c r="Z215" s="99">
        <f ca="1">MIN(MAX(U215-C215,0),TEW)</f>
        <v>0</v>
      </c>
      <c r="AA215" s="99">
        <f ca="1">MIN(MAX(V215-C215-(X215*Irri_auto+E215*Irri_man),0),R215)</f>
        <v>0</v>
      </c>
      <c r="AB215" s="99">
        <f ca="1">MIN(MAX(W215+MIN(V215-C215-(X215*Irri_auto+E215*Irri_man),0),0),S215)</f>
        <v>0</v>
      </c>
      <c r="AC215" s="99">
        <f ca="1">-MIN(W215+MIN(V215-C215-(X215*Irri_auto+E215*Irri_man),0),0)</f>
        <v>0.620823451014292</v>
      </c>
      <c r="AD215" s="39">
        <f ca="1">IF(((R215-AA215)/P215-((Wfc-Wwp)*Ze-Y215)/Ze)/Wfc*DiffE&lt;0,MAX(((R215-AA215)/P215-((Wfc-Wwp)*Ze-Y215)/Ze)/Wfc*DiffE,(R215*Ze-((Wfc-Wwp)*Ze-Y215-AA215)*P215)/(P215+Ze)-AA215),MIN(((R215-AA215)/P215-((Wfc-Wwp)*Ze-Y215)/Ze)/Wfc*DiffE,(R215*Ze-((Wfc-Wwp)*Ze-Y215-AA215)*P215)/(P215+Ze)-AA215))</f>
        <v>0</v>
      </c>
      <c r="AE215" s="39">
        <f ca="1">IF(((R215-AA215)/P215-((Wfc-Wwp)*Ze-Z215)/Ze)/Wfc*DiffE&lt;0,MAX(((R215-AA215)/P215-((Wfc-Wwp)*Ze-Z215)/Ze)/Wfc*DiffE,(R215*Ze-((Wfc-Wwp)*Ze-Z215-AA215)*P215)/(P215+Ze)-AA215),MIN(((R215-AA215)/P215-((Wfc-Wwp)*Ze-Z215)/Ze)/Wfc*DiffE,(R215*Ze-((Wfc-Wwp)*Ze-Z215-AA215)*P215)/(P215+Ze)-AA215))</f>
        <v>0</v>
      </c>
      <c r="AF215" s="39">
        <f ca="1">IF(((S215-AB215)/Q215-(R215-AA215)/P215)/Wfc*DiffR&lt;0,MAX(((S215-AB215)/Q215-(R215-AA215)/P215)/Wfc*DiffR,(S215*P215-(R215-AA215-AB215)*Q215)/(P215+Q215)-AB215),MIN(((S215-AB215)/Q215-(R215-AA215)/P215)/Wfc*DiffR,(S215*P215-(R215-AA215-AB215)*Q215)/(P215+Q215)-AB215))</f>
        <v>0</v>
      </c>
      <c r="AG215" s="99">
        <f ca="1">MIN(MAX(Y215+IF(AU215&gt;0,B215*AZ215/AU215,0)+BE215-AD215,0),TEW)</f>
        <v>1.35185359595879</v>
      </c>
      <c r="AH215" s="99">
        <f ca="1">MIN(MAX(Z215+IF(AV215&gt;0,B215*BA215/AV215,0)+BF215-AE215,0),TEW)</f>
        <v>1.35185359595879</v>
      </c>
      <c r="AI215" s="99">
        <f ca="1" t="shared" si="34"/>
        <v>3.44934985814823</v>
      </c>
      <c r="AJ215" s="99">
        <f ca="1" t="shared" si="35"/>
        <v>0</v>
      </c>
      <c r="AK215" s="70">
        <f ca="1">IF((AU215+AV215)&gt;0,(TEW-(AG215*AU215+AH215*AV215)/(AU215+AV215))/TEW,(TEW-(AG215+AH215)/2)/TEW)</f>
        <v>0.959189325405018</v>
      </c>
      <c r="AL215" s="70">
        <f ca="1" t="shared" si="36"/>
        <v>0.955447586217855</v>
      </c>
      <c r="AM215" s="70">
        <f ca="1" t="shared" si="37"/>
        <v>1</v>
      </c>
      <c r="AN215" s="70">
        <f ca="1">Wwp+(Wfc-Wwp)*IF((AU215+AV215)&gt;0,(TEW-(AG215*AU215+AH215*AV215)/(AU215+AV215))/TEW,(TEW-(AG215+AH215)/2)/TEW)</f>
        <v>0.394694612302652</v>
      </c>
      <c r="AO215" s="70">
        <f ca="1">Wwp+(Wfc-Wwp)*(R215-AI215)/R215</f>
        <v>0.394208186208321</v>
      </c>
      <c r="AP215" s="70">
        <f ca="1">Wwp+(Wfc-Wwp)*(S215-AJ215)/S215</f>
        <v>0.4</v>
      </c>
      <c r="AQ215" s="70"/>
      <c r="AR215" s="70"/>
      <c r="AS215" s="70"/>
      <c r="AT215" s="70"/>
      <c r="AU215" s="70">
        <f ca="1">MIN((1-G215),fw)</f>
        <v>0</v>
      </c>
      <c r="AV215" s="70">
        <f ca="1" t="shared" si="38"/>
        <v>0</v>
      </c>
      <c r="AW215" s="70">
        <f ca="1">MIN((TEW-Y215)/(TEW-REW),1)</f>
        <v>0.12727820001996</v>
      </c>
      <c r="AX215" s="70">
        <f ca="1">MIN((TEW-Z215)/(TEW-REW),1)</f>
        <v>0.12727820001996</v>
      </c>
      <c r="AY215" s="70">
        <f ca="1">IF((AU215*(TEW-Y215))&gt;0,1/(1+((AV215*(TEW-Z215))/(AU215*(TEW-Y215)))),0)</f>
        <v>0</v>
      </c>
      <c r="AZ215" s="70">
        <f ca="1">MIN((AY215*AW215*(Kcmax-H215)),AU215*Kcmax)</f>
        <v>0</v>
      </c>
      <c r="BA215" s="70">
        <f ca="1">MIN(((1-AY215)*AX215*(Kcmax-H215)),AV215*Kcmax)</f>
        <v>0</v>
      </c>
      <c r="BB215" s="70">
        <f ca="1" t="shared" si="39"/>
        <v>0</v>
      </c>
      <c r="BC215" s="70">
        <f ca="1">MIN((R215-AA215)/(R215*(1-(p+0.04*(5-I214)))),1)</f>
        <v>1</v>
      </c>
      <c r="BD215" s="10">
        <f ca="1" t="shared" si="40"/>
        <v>3.44934985814823</v>
      </c>
      <c r="BE215" s="70">
        <f ca="1">MIN(IF((1-AA215/R215)&gt;0,(1-Y215/TEW)/(1-AA215/R215)*(Ze/P215)^0.6,0),1)*BC215*H215*B215</f>
        <v>1.35185359595879</v>
      </c>
      <c r="BF215" s="70">
        <f ca="1">MIN(IF((1-AA215/R215)&gt;0,(1-Z215/TEW)/(1-AA215/R215)*(Ze/P215)^0.6,0),1)*BC215*H215*B215</f>
        <v>1.35185359595879</v>
      </c>
      <c r="BH215" s="10">
        <f ca="1" t="shared" si="41"/>
        <v>0.446227395920423</v>
      </c>
      <c r="BI215" s="10">
        <f ca="1">IF(F215&lt;&gt;"",(Moy_Etobs-F215)^2,"")</f>
        <v>6.29247104445899</v>
      </c>
    </row>
    <row r="216" spans="1:61">
      <c r="A216" s="38">
        <v>39209</v>
      </c>
      <c r="B216" s="10">
        <v>1.794</v>
      </c>
      <c r="C216" s="39">
        <v>0</v>
      </c>
      <c r="D216">
        <v>0.872</v>
      </c>
      <c r="E216" s="39">
        <v>0</v>
      </c>
      <c r="F216" s="10">
        <v>2.282508</v>
      </c>
      <c r="G216" s="10">
        <f ca="1">MIN(MAX(IF(AND(Durpla&gt;ROW()-MATCH(NDVImax,INDEX(D:D,Lig_min,1):INDEX(D:D,Lig_max,1),0)-Lig_min+1,ROW()-MATCH(NDVImax,INDEX(D:D,Lig_min,1):INDEX(D:D,Lig_max,1),0)-Lig_min+1&gt;0,D216*a_fc+b_fc&gt;fc_fin),NDVImax*a_fc+b_fc,D216*a_fc+b_fc),0),1)</f>
        <v>1</v>
      </c>
      <c r="H216" s="55">
        <f>MIN(MAX(D216*a_kcb+b_kcb,0),Kcmax)</f>
        <v>1.08520885027972</v>
      </c>
      <c r="I216" s="70">
        <f ca="1" t="shared" si="33"/>
        <v>1.94686467740182</v>
      </c>
      <c r="O216" s="55"/>
      <c r="P216" s="35">
        <f ca="1">IF(ROW()-MATCH(NDVImax,INDEX(D:D,Lig_min,1):INDEX(D:D,Lig_max,1),0)-Lig_min+1&gt;0,MAX(MIN(Zr_min+MAX(INDEX(G:G,Lig_min,1):INDEX(G:G,Lig_max,1))/MAX(MAX(INDEX(G:G,Lig_min,1):INDEX(G:G,Lig_max,1)),Max_fc_pour_Zrmax)*(Zr_max-Zr_min),Zr_max),Ze+0.001),MAX(MIN(Zr_min+G216/MAX(MAX(INDEX(G:G,Lig_min,1):INDEX(G:G,Lig_max,1)),Max_fc_pour_Zrmax)*(Zr_max-Zr_min),Zr_max),Ze+0.001))</f>
        <v>595.55606968994</v>
      </c>
      <c r="Q216" s="35">
        <f ca="1">IF(Z_sol&gt;0,Z_sol-P216,0.1)</f>
        <v>18.318481374494</v>
      </c>
      <c r="R216" s="35">
        <f ca="1">(Wfc-Wwp)*P216</f>
        <v>77.4222890596922</v>
      </c>
      <c r="S216" s="35">
        <f ca="1">(Wfc-Wwp)*Q216</f>
        <v>2.38140257868422</v>
      </c>
      <c r="T216" s="99">
        <f ca="1" t="shared" si="42"/>
        <v>1.35185359595879</v>
      </c>
      <c r="U216" s="99">
        <f ca="1" t="shared" si="43"/>
        <v>1.35185359595879</v>
      </c>
      <c r="V216" s="99">
        <f ca="1">IF(P216&gt;P215,IF(Q216&gt;1,MAX(AI215+(Wfc-Wwp)*(P216-P215)*AJ215/S215,0),AI215/P215*P216),MAX(AI215+(Wfc-Wwp)*(P216-P215)*AI215/R215,0))</f>
        <v>3.44934985814823</v>
      </c>
      <c r="W216" s="99">
        <f ca="1">IF(S216&gt;1,IF(P216&gt;P215,MAX(AJ215-(Wfc-Wwp)*(P216-P215)*AJ215/S215,0),MAX(AJ215-(Wfc-Wwp)*(P216-P215)*AI215/R215,0)),0)</f>
        <v>0</v>
      </c>
      <c r="X216" s="99">
        <f ca="1">IF(AND(OR(AND(dec_vide_TAW&lt;0,V216&gt;R216*(p+0.04*(5-I215))),AND(dec_vide_TAW&gt;0,V216&gt;R216*dec_vide_TAW)),H216&gt;MAX(INDEX(H:H,Lig_min,1):INDEX(H:H,ROW(X216),1))*Kcbmax_stop_irrig*IF(ROW(X216)-lig_kcbmax&gt;0,1,0),MIN(INDEX(H:H,ROW(X216),1):INDEX(H:H,lig_kcbmax,1))&gt;Kcbmin_start_irrig),MIN(MAX(V216-E216*Irri_man-C216,0),Lame_max),0)</f>
        <v>0</v>
      </c>
      <c r="Y216" s="99">
        <f ca="1">MIN(MAX(T216-C216-IF(fw&gt;0,X216/fw*Irri_auto+E216/fw*Irri_man,0),0),TEW)</f>
        <v>1.35185359595879</v>
      </c>
      <c r="Z216" s="99">
        <f ca="1">MIN(MAX(U216-C216,0),TEW)</f>
        <v>1.35185359595879</v>
      </c>
      <c r="AA216" s="99">
        <f ca="1">MIN(MAX(V216-C216-(X216*Irri_auto+E216*Irri_man),0),R216)</f>
        <v>3.44934985814823</v>
      </c>
      <c r="AB216" s="99">
        <f ca="1">MIN(MAX(W216+MIN(V216-C216-(X216*Irri_auto+E216*Irri_man),0),0),S216)</f>
        <v>0</v>
      </c>
      <c r="AC216" s="99">
        <f ca="1">-MIN(W216+MIN(V216-C216-(X216*Irri_auto+E216*Irri_man),0),0)</f>
        <v>0</v>
      </c>
      <c r="AD216" s="39">
        <f ca="1">IF(((R216-AA216)/P216-((Wfc-Wwp)*Ze-Y216)/Ze)/Wfc*DiffE&lt;0,MAX(((R216-AA216)/P216-((Wfc-Wwp)*Ze-Y216)/Ze)/Wfc*DiffE,(R216*Ze-((Wfc-Wwp)*Ze-Y216-AA216)*P216)/(P216+Ze)-AA216),MIN(((R216-AA216)/P216-((Wfc-Wwp)*Ze-Y216)/Ze)/Wfc*DiffE,(R216*Ze-((Wfc-Wwp)*Ze-Y216-AA216)*P216)/(P216+Ze)-AA216))</f>
        <v>1.25575374399787e-8</v>
      </c>
      <c r="AE216" s="39">
        <f ca="1">IF(((R216-AA216)/P216-((Wfc-Wwp)*Ze-Z216)/Ze)/Wfc*DiffE&lt;0,MAX(((R216-AA216)/P216-((Wfc-Wwp)*Ze-Z216)/Ze)/Wfc*DiffE,(R216*Ze-((Wfc-Wwp)*Ze-Z216-AA216)*P216)/(P216+Ze)-AA216),MIN(((R216-AA216)/P216-((Wfc-Wwp)*Ze-Z216)/Ze)/Wfc*DiffE,(R216*Ze-((Wfc-Wwp)*Ze-Z216-AA216)*P216)/(P216+Ze)-AA216))</f>
        <v>1.25575374399787e-8</v>
      </c>
      <c r="AF216" s="39">
        <f ca="1">IF(((S216-AB216)/Q216-(R216-AA216)/P216)/Wfc*DiffR&lt;0,MAX(((S216-AB216)/Q216-(R216-AA216)/P216)/Wfc*DiffR,(S216*P216-(R216-AA216-AB216)*Q216)/(P216+Q216)-AB216),MIN(((S216-AB216)/Q216-(R216-AA216)/P216)/Wfc*DiffR,(S216*P216-(R216-AA216-AB216)*Q216)/(P216+Q216)-AB216))</f>
        <v>1.44795344791971e-8</v>
      </c>
      <c r="AG216" s="99">
        <f ca="1">MIN(MAX(Y216+IF(AU216&gt;0,B216*AZ216/AU216,0)+BE216-AD216,0),TEW)</f>
        <v>2.11784808056203</v>
      </c>
      <c r="AH216" s="99">
        <f ca="1">MIN(MAX(Z216+IF(AV216&gt;0,B216*BA216/AV216,0)+BF216-AE216,0),TEW)</f>
        <v>2.11784808056203</v>
      </c>
      <c r="AI216" s="99">
        <f ca="1" t="shared" si="34"/>
        <v>5.39621452107051</v>
      </c>
      <c r="AJ216" s="99">
        <f ca="1" t="shared" si="35"/>
        <v>1.44795344791971e-8</v>
      </c>
      <c r="AK216" s="70">
        <f ca="1">IF((AU216+AV216)&gt;0,(TEW-(AG216*AU216+AH216*AV216)/(AU216+AV216))/TEW,(TEW-(AG216+AH216)/2)/TEW)</f>
        <v>0.936064963605675</v>
      </c>
      <c r="AL216" s="70">
        <f ca="1" t="shared" si="36"/>
        <v>0.930301537365938</v>
      </c>
      <c r="AM216" s="70">
        <f ca="1" t="shared" si="37"/>
        <v>0.999999993919745</v>
      </c>
      <c r="AN216" s="70">
        <f ca="1">Wwp+(Wfc-Wwp)*IF((AU216+AV216)&gt;0,(TEW-(AG216*AU216+AH216*AV216)/(AU216+AV216))/TEW,(TEW-(AG216+AH216)/2)/TEW)</f>
        <v>0.391688445268738</v>
      </c>
      <c r="AO216" s="70">
        <f ca="1">Wwp+(Wfc-Wwp)*(R216-AI216)/R216</f>
        <v>0.390939199857572</v>
      </c>
      <c r="AP216" s="70">
        <f ca="1">Wwp+(Wfc-Wwp)*(S216-AJ216)/S216</f>
        <v>0.399999999209567</v>
      </c>
      <c r="AQ216" s="70"/>
      <c r="AR216" s="70"/>
      <c r="AS216" s="70"/>
      <c r="AT216" s="70"/>
      <c r="AU216" s="70">
        <f ca="1">MIN((1-G216),fw)</f>
        <v>0</v>
      </c>
      <c r="AV216" s="70">
        <f ca="1" t="shared" si="38"/>
        <v>0</v>
      </c>
      <c r="AW216" s="70">
        <f ca="1">MIN((TEW-Y216)/(TEW-REW),1)</f>
        <v>0.122083890815911</v>
      </c>
      <c r="AX216" s="70">
        <f ca="1">MIN((TEW-Z216)/(TEW-REW),1)</f>
        <v>0.122083890815911</v>
      </c>
      <c r="AY216" s="70">
        <f ca="1">IF((AU216*(TEW-Y216))&gt;0,1/(1+((AV216*(TEW-Z216))/(AU216*(TEW-Y216)))),0)</f>
        <v>0</v>
      </c>
      <c r="AZ216" s="70">
        <f ca="1">MIN((AY216*AW216*(Kcmax-H216)),AU216*Kcmax)</f>
        <v>0</v>
      </c>
      <c r="BA216" s="70">
        <f ca="1">MIN(((1-AY216)*AX216*(Kcmax-H216)),AV216*Kcmax)</f>
        <v>0</v>
      </c>
      <c r="BB216" s="70">
        <f ca="1" t="shared" si="39"/>
        <v>0</v>
      </c>
      <c r="BC216" s="70">
        <f ca="1">MIN((R216-AA216)/(R216*(1-(p+0.04*(5-I215)))),1)</f>
        <v>1</v>
      </c>
      <c r="BD216" s="10">
        <f ca="1" t="shared" si="40"/>
        <v>1.94686467740182</v>
      </c>
      <c r="BE216" s="70">
        <f ca="1">MIN(IF((1-AA216/R216)&gt;0,(1-Y216/TEW)/(1-AA216/R216)*(Ze/P216)^0.6,0),1)*BC216*H216*B216</f>
        <v>0.765994497160778</v>
      </c>
      <c r="BF216" s="70">
        <f ca="1">MIN(IF((1-AA216/R216)&gt;0,(1-Z216/TEW)/(1-AA216/R216)*(Ze/P216)^0.6,0),1)*BC216*H216*B216</f>
        <v>0.765994497160778</v>
      </c>
      <c r="BH216" s="10">
        <f ca="1" t="shared" si="41"/>
        <v>0.112656440004749</v>
      </c>
      <c r="BI216" s="10">
        <f ca="1">IF(F216&lt;&gt;"",(Moy_Etobs-F216)^2,"")</f>
        <v>0.45378468904469</v>
      </c>
    </row>
    <row r="217" spans="1:61">
      <c r="A217" s="38">
        <v>39210</v>
      </c>
      <c r="B217" s="10">
        <v>2.617</v>
      </c>
      <c r="C217" s="39">
        <v>0</v>
      </c>
      <c r="D217">
        <v>0.869</v>
      </c>
      <c r="E217" s="39">
        <v>0</v>
      </c>
      <c r="F217" s="10">
        <v>3.1175748</v>
      </c>
      <c r="G217" s="10">
        <f ca="1">MIN(MAX(IF(AND(Durpla&gt;ROW()-MATCH(NDVImax,INDEX(D:D,Lig_min,1):INDEX(D:D,Lig_max,1),0)-Lig_min+1,ROW()-MATCH(NDVImax,INDEX(D:D,Lig_min,1):INDEX(D:D,Lig_max,1),0)-Lig_min+1&gt;0,D217*a_fc+b_fc&gt;fc_fin),NDVImax*a_fc+b_fc,D217*a_fc+b_fc),0),1)</f>
        <v>1</v>
      </c>
      <c r="H217" s="55">
        <f>MIN(MAX(D217*a_kcb+b_kcb,0),Kcmax)</f>
        <v>1.08069967223147</v>
      </c>
      <c r="I217" s="70">
        <f ca="1" t="shared" si="33"/>
        <v>2.82819104222974</v>
      </c>
      <c r="O217" s="55"/>
      <c r="P217" s="35">
        <f ca="1">IF(ROW()-MATCH(NDVImax,INDEX(D:D,Lig_min,1):INDEX(D:D,Lig_max,1),0)-Lig_min+1&gt;0,MAX(MIN(Zr_min+MAX(INDEX(G:G,Lig_min,1):INDEX(G:G,Lig_max,1))/MAX(MAX(INDEX(G:G,Lig_min,1):INDEX(G:G,Lig_max,1)),Max_fc_pour_Zrmax)*(Zr_max-Zr_min),Zr_max),Ze+0.001),MAX(MIN(Zr_min+G217/MAX(MAX(INDEX(G:G,Lig_min,1):INDEX(G:G,Lig_max,1)),Max_fc_pour_Zrmax)*(Zr_max-Zr_min),Zr_max),Ze+0.001))</f>
        <v>595.55606968994</v>
      </c>
      <c r="Q217" s="35">
        <f ca="1">IF(Z_sol&gt;0,Z_sol-P217,0.1)</f>
        <v>18.318481374494</v>
      </c>
      <c r="R217" s="35">
        <f ca="1">(Wfc-Wwp)*P217</f>
        <v>77.4222890596922</v>
      </c>
      <c r="S217" s="35">
        <f ca="1">(Wfc-Wwp)*Q217</f>
        <v>2.38140257868422</v>
      </c>
      <c r="T217" s="99">
        <f ca="1" t="shared" si="42"/>
        <v>2.11784808056203</v>
      </c>
      <c r="U217" s="99">
        <f ca="1" t="shared" si="43"/>
        <v>2.11784808056203</v>
      </c>
      <c r="V217" s="99">
        <f ca="1">IF(P217&gt;P216,IF(Q217&gt;1,MAX(AI216+(Wfc-Wwp)*(P217-P216)*AJ216/S216,0),AI216/P216*P217),MAX(AI216+(Wfc-Wwp)*(P217-P216)*AI216/R216,0))</f>
        <v>5.39621452107051</v>
      </c>
      <c r="W217" s="99">
        <f ca="1">IF(S217&gt;1,IF(P217&gt;P216,MAX(AJ216-(Wfc-Wwp)*(P217-P216)*AJ216/S216,0),MAX(AJ216-(Wfc-Wwp)*(P217-P216)*AI216/R216,0)),0)</f>
        <v>1.44795344791971e-8</v>
      </c>
      <c r="X217" s="99">
        <f ca="1">IF(AND(OR(AND(dec_vide_TAW&lt;0,V217&gt;R217*(p+0.04*(5-I216))),AND(dec_vide_TAW&gt;0,V217&gt;R217*dec_vide_TAW)),H217&gt;MAX(INDEX(H:H,Lig_min,1):INDEX(H:H,ROW(X217),1))*Kcbmax_stop_irrig*IF(ROW(X217)-lig_kcbmax&gt;0,1,0),MIN(INDEX(H:H,ROW(X217),1):INDEX(H:H,lig_kcbmax,1))&gt;Kcbmin_start_irrig),MIN(MAX(V217-E217*Irri_man-C217,0),Lame_max),0)</f>
        <v>0</v>
      </c>
      <c r="Y217" s="99">
        <f ca="1">MIN(MAX(T217-C217-IF(fw&gt;0,X217/fw*Irri_auto+E217/fw*Irri_man,0),0),TEW)</f>
        <v>2.11784808056203</v>
      </c>
      <c r="Z217" s="99">
        <f ca="1">MIN(MAX(U217-C217,0),TEW)</f>
        <v>2.11784808056203</v>
      </c>
      <c r="AA217" s="99">
        <f ca="1">MIN(MAX(V217-C217-(X217*Irri_auto+E217*Irri_man),0),R217)</f>
        <v>5.39621452107051</v>
      </c>
      <c r="AB217" s="99">
        <f ca="1">MIN(MAX(W217+MIN(V217-C217-(X217*Irri_auto+E217*Irri_man),0),0),S217)</f>
        <v>1.44795344791971e-8</v>
      </c>
      <c r="AC217" s="99">
        <f ca="1">-MIN(W217+MIN(V217-C217-(X217*Irri_auto+E217*Irri_man),0),0)</f>
        <v>0</v>
      </c>
      <c r="AD217" s="39">
        <f ca="1">IF(((R217-AA217)/P217-((Wfc-Wwp)*Ze-Y217)/Ze)/Wfc*DiffE&lt;0,MAX(((R217-AA217)/P217-((Wfc-Wwp)*Ze-Y217)/Ze)/Wfc*DiffE,(R217*Ze-((Wfc-Wwp)*Ze-Y217-AA217)*P217)/(P217+Ze)-AA217),MIN(((R217-AA217)/P217-((Wfc-Wwp)*Ze-Y217)/Ze)/Wfc*DiffE,(R217*Ze-((Wfc-Wwp)*Ze-Y217-AA217)*P217)/(P217+Ze)-AA217))</f>
        <v>1.97049612551704e-8</v>
      </c>
      <c r="AE217" s="39">
        <f ca="1">IF(((R217-AA217)/P217-((Wfc-Wwp)*Ze-Z217)/Ze)/Wfc*DiffE&lt;0,MAX(((R217-AA217)/P217-((Wfc-Wwp)*Ze-Z217)/Ze)/Wfc*DiffE,(R217*Ze-((Wfc-Wwp)*Ze-Z217-AA217)*P217)/(P217+Ze)-AA217),MIN(((R217-AA217)/P217-((Wfc-Wwp)*Ze-Z217)/Ze)/Wfc*DiffE,(R217*Ze-((Wfc-Wwp)*Ze-Z217-AA217)*P217)/(P217+Ze)-AA217))</f>
        <v>1.97049612551704e-8</v>
      </c>
      <c r="AF217" s="39">
        <f ca="1">IF(((S217-AB217)/Q217-(R217-AA217)/P217)/Wfc*DiffR&lt;0,MAX(((S217-AB217)/Q217-(R217-AA217)/P217)/Wfc*DiffR,(S217*P217-(R217-AA217-AB217)*Q217)/(P217+Q217)-AB217),MIN(((S217-AB217)/Q217-(R217-AA217)/P217)/Wfc*DiffR,(S217*P217-(R217-AA217-AB217)*Q217)/(P217+Q217)-AB217))</f>
        <v>2.26519983799875e-8</v>
      </c>
      <c r="AG217" s="99">
        <f ca="1">MIN(MAX(Y217+IF(AU217&gt;0,B217*AZ217/AU217,0)+BE217-AD217,0),TEW)</f>
        <v>3.23312676245074</v>
      </c>
      <c r="AH217" s="99">
        <f ca="1">MIN(MAX(Z217+IF(AV217&gt;0,B217*BA217/AV217,0)+BF217-AE217,0),TEW)</f>
        <v>3.23312676245074</v>
      </c>
      <c r="AI217" s="99">
        <f ca="1" t="shared" si="34"/>
        <v>8.22440554064826</v>
      </c>
      <c r="AJ217" s="99">
        <f ca="1" t="shared" si="35"/>
        <v>3.71315328591846e-8</v>
      </c>
      <c r="AK217" s="70">
        <f ca="1">IF((AU217+AV217)&gt;0,(TEW-(AG217*AU217+AH217*AV217)/(AU217+AV217))/TEW,(TEW-(AG217+AH217)/2)/TEW)</f>
        <v>0.902396173209034</v>
      </c>
      <c r="AL217" s="70">
        <f ca="1" t="shared" si="36"/>
        <v>0.89377212117421</v>
      </c>
      <c r="AM217" s="70">
        <f ca="1" t="shared" si="37"/>
        <v>0.999999984407704</v>
      </c>
      <c r="AN217" s="70">
        <f ca="1">Wwp+(Wfc-Wwp)*IF((AU217+AV217)&gt;0,(TEW-(AG217*AU217+AH217*AV217)/(AU217+AV217))/TEW,(TEW-(AG217+AH217)/2)/TEW)</f>
        <v>0.387311502517174</v>
      </c>
      <c r="AO217" s="70">
        <f ca="1">Wwp+(Wfc-Wwp)*(R217-AI217)/R217</f>
        <v>0.386190375752647</v>
      </c>
      <c r="AP217" s="70">
        <f ca="1">Wwp+(Wfc-Wwp)*(S217-AJ217)/S217</f>
        <v>0.399999997973002</v>
      </c>
      <c r="AQ217" s="70"/>
      <c r="AR217" s="70"/>
      <c r="AS217" s="70"/>
      <c r="AT217" s="70"/>
      <c r="AU217" s="70">
        <f ca="1">MIN((1-G217),fw)</f>
        <v>0</v>
      </c>
      <c r="AV217" s="70">
        <f ca="1" t="shared" si="38"/>
        <v>0</v>
      </c>
      <c r="AW217" s="70">
        <f ca="1">MIN((TEW-Y217)/(TEW-REW),1)</f>
        <v>0.11914066366948</v>
      </c>
      <c r="AX217" s="70">
        <f ca="1">MIN((TEW-Z217)/(TEW-REW),1)</f>
        <v>0.11914066366948</v>
      </c>
      <c r="AY217" s="70">
        <f ca="1">IF((AU217*(TEW-Y217))&gt;0,1/(1+((AV217*(TEW-Z217))/(AU217*(TEW-Y217)))),0)</f>
        <v>0</v>
      </c>
      <c r="AZ217" s="70">
        <f ca="1">MIN((AY217*AW217*(Kcmax-H217)),AU217*Kcmax)</f>
        <v>0</v>
      </c>
      <c r="BA217" s="70">
        <f ca="1">MIN(((1-AY217)*AX217*(Kcmax-H217)),AV217*Kcmax)</f>
        <v>0</v>
      </c>
      <c r="BB217" s="70">
        <f ca="1" t="shared" si="39"/>
        <v>0</v>
      </c>
      <c r="BC217" s="70">
        <f ca="1">MIN((R217-AA217)/(R217*(1-(p+0.04*(5-I216)))),1)</f>
        <v>1</v>
      </c>
      <c r="BD217" s="10">
        <f ca="1" t="shared" si="40"/>
        <v>2.82819104222974</v>
      </c>
      <c r="BE217" s="70">
        <f ca="1">MIN(IF((1-AA217/R217)&gt;0,(1-Y217/TEW)/(1-AA217/R217)*(Ze/P217)^0.6,0),1)*BC217*H217*B217</f>
        <v>1.11527870159367</v>
      </c>
      <c r="BF217" s="70">
        <f ca="1">MIN(IF((1-AA217/R217)&gt;0,(1-Z217/TEW)/(1-AA217/R217)*(Ze/P217)^0.6,0),1)*BC217*H217*B217</f>
        <v>1.11527870159367</v>
      </c>
      <c r="BH217" s="10">
        <f ca="1" t="shared" si="41"/>
        <v>0.0837429592612338</v>
      </c>
      <c r="BI217" s="10">
        <f ca="1">IF(F217&lt;&gt;"",(Moy_Etobs-F217)^2,"")</f>
        <v>2.27618241095346</v>
      </c>
    </row>
    <row r="218" spans="1:61">
      <c r="A218" s="38">
        <v>39211</v>
      </c>
      <c r="B218" s="10">
        <v>4.04</v>
      </c>
      <c r="C218" s="39">
        <v>0</v>
      </c>
      <c r="D218">
        <v>0.865</v>
      </c>
      <c r="E218" s="39">
        <v>0</v>
      </c>
      <c r="F218" s="10">
        <v>4.4987526</v>
      </c>
      <c r="G218" s="10">
        <f ca="1">MIN(MAX(IF(AND(Durpla&gt;ROW()-MATCH(NDVImax,INDEX(D:D,Lig_min,1):INDEX(D:D,Lig_max,1),0)-Lig_min+1,ROW()-MATCH(NDVImax,INDEX(D:D,Lig_min,1):INDEX(D:D,Lig_max,1),0)-Lig_min+1&gt;0,D218*a_fc+b_fc&gt;fc_fin),NDVImax*a_fc+b_fc,D218*a_fc+b_fc),0),1)</f>
        <v>1</v>
      </c>
      <c r="H218" s="55">
        <f>MIN(MAX(D218*a_kcb+b_kcb,0),Kcmax)</f>
        <v>1.07468743483379</v>
      </c>
      <c r="I218" s="70">
        <f ca="1" t="shared" si="33"/>
        <v>4.34173723672853</v>
      </c>
      <c r="O218" s="55"/>
      <c r="P218" s="35">
        <f ca="1">IF(ROW()-MATCH(NDVImax,INDEX(D:D,Lig_min,1):INDEX(D:D,Lig_max,1),0)-Lig_min+1&gt;0,MAX(MIN(Zr_min+MAX(INDEX(G:G,Lig_min,1):INDEX(G:G,Lig_max,1))/MAX(MAX(INDEX(G:G,Lig_min,1):INDEX(G:G,Lig_max,1)),Max_fc_pour_Zrmax)*(Zr_max-Zr_min),Zr_max),Ze+0.001),MAX(MIN(Zr_min+G218/MAX(MAX(INDEX(G:G,Lig_min,1):INDEX(G:G,Lig_max,1)),Max_fc_pour_Zrmax)*(Zr_max-Zr_min),Zr_max),Ze+0.001))</f>
        <v>595.55606968994</v>
      </c>
      <c r="Q218" s="35">
        <f ca="1">IF(Z_sol&gt;0,Z_sol-P218,0.1)</f>
        <v>18.318481374494</v>
      </c>
      <c r="R218" s="35">
        <f ca="1">(Wfc-Wwp)*P218</f>
        <v>77.4222890596922</v>
      </c>
      <c r="S218" s="35">
        <f ca="1">(Wfc-Wwp)*Q218</f>
        <v>2.38140257868422</v>
      </c>
      <c r="T218" s="99">
        <f ca="1" t="shared" si="42"/>
        <v>3.23312676245074</v>
      </c>
      <c r="U218" s="99">
        <f ca="1" t="shared" si="43"/>
        <v>3.23312676245074</v>
      </c>
      <c r="V218" s="99">
        <f ca="1">IF(P218&gt;P217,IF(Q218&gt;1,MAX(AI217+(Wfc-Wwp)*(P218-P217)*AJ217/S217,0),AI217/P217*P218),MAX(AI217+(Wfc-Wwp)*(P218-P217)*AI217/R217,0))</f>
        <v>8.22440554064826</v>
      </c>
      <c r="W218" s="99">
        <f ca="1">IF(S218&gt;1,IF(P218&gt;P217,MAX(AJ217-(Wfc-Wwp)*(P218-P217)*AJ217/S217,0),MAX(AJ217-(Wfc-Wwp)*(P218-P217)*AI217/R217,0)),0)</f>
        <v>3.71315328591846e-8</v>
      </c>
      <c r="X218" s="99">
        <f ca="1">IF(AND(OR(AND(dec_vide_TAW&lt;0,V218&gt;R218*(p+0.04*(5-I217))),AND(dec_vide_TAW&gt;0,V218&gt;R218*dec_vide_TAW)),H218&gt;MAX(INDEX(H:H,Lig_min,1):INDEX(H:H,ROW(X218),1))*Kcbmax_stop_irrig*IF(ROW(X218)-lig_kcbmax&gt;0,1,0),MIN(INDEX(H:H,ROW(X218),1):INDEX(H:H,lig_kcbmax,1))&gt;Kcbmin_start_irrig),MIN(MAX(V218-E218*Irri_man-C218,0),Lame_max),0)</f>
        <v>0</v>
      </c>
      <c r="Y218" s="99">
        <f ca="1">MIN(MAX(T218-C218-IF(fw&gt;0,X218/fw*Irri_auto+E218/fw*Irri_man,0),0),TEW)</f>
        <v>3.23312676245074</v>
      </c>
      <c r="Z218" s="99">
        <f ca="1">MIN(MAX(U218-C218,0),TEW)</f>
        <v>3.23312676245074</v>
      </c>
      <c r="AA218" s="99">
        <f ca="1">MIN(MAX(V218-C218-(X218*Irri_auto+E218*Irri_man),0),R218)</f>
        <v>8.22440554064826</v>
      </c>
      <c r="AB218" s="99">
        <f ca="1">MIN(MAX(W218+MIN(V218-C218-(X218*Irri_auto+E218*Irri_man),0),0),S218)</f>
        <v>3.71315328591846e-8</v>
      </c>
      <c r="AC218" s="99">
        <f ca="1">-MIN(W218+MIN(V218-C218-(X218*Irri_auto+E218*Irri_man),0),0)</f>
        <v>0</v>
      </c>
      <c r="AD218" s="39">
        <f ca="1">IF(((R218-AA218)/P218-((Wfc-Wwp)*Ze-Y218)/Ze)/Wfc*DiffE&lt;0,MAX(((R218-AA218)/P218-((Wfc-Wwp)*Ze-Y218)/Ze)/Wfc*DiffE,(R218*Ze-((Wfc-Wwp)*Ze-Y218-AA218)*P218)/(P218+Ze)-AA218),MIN(((R218-AA218)/P218-((Wfc-Wwp)*Ze-Y218)/Ze)/Wfc*DiffE,(R218*Ze-((Wfc-Wwp)*Ze-Y218-AA218)*P218)/(P218+Ze)-AA218))</f>
        <v>3.01384746306331e-8</v>
      </c>
      <c r="AE218" s="39">
        <f ca="1">IF(((R218-AA218)/P218-((Wfc-Wwp)*Ze-Z218)/Ze)/Wfc*DiffE&lt;0,MAX(((R218-AA218)/P218-((Wfc-Wwp)*Ze-Z218)/Ze)/Wfc*DiffE,(R218*Ze-((Wfc-Wwp)*Ze-Z218-AA218)*P218)/(P218+Ze)-AA218),MIN(((R218-AA218)/P218-((Wfc-Wwp)*Ze-Z218)/Ze)/Wfc*DiffE,(R218*Ze-((Wfc-Wwp)*Ze-Z218-AA218)*P218)/(P218+Ze)-AA218))</f>
        <v>3.01384746306331e-8</v>
      </c>
      <c r="AF218" s="39">
        <f ca="1">IF(((S218-AB218)/Q218-(R218-AA218)/P218)/Wfc*DiffR&lt;0,MAX(((S218-AB218)/Q218-(R218-AA218)/P218)/Wfc*DiffR,(S218*P218-(R218-AA218-AB218)*Q218)/(P218+Q218)-AB218),MIN(((S218-AB218)/Q218-(R218-AA218)/P218)/Wfc*DiffR,(S218*P218-(R218-AA218-AB218)*Q218)/(P218+Q218)-AB218))</f>
        <v>3.45240555508857e-8</v>
      </c>
      <c r="AG218" s="99">
        <f ca="1">MIN(MAX(Y218+IF(AU218&gt;0,B218*AZ218/AU218,0)+BE218-AD218,0),TEW)</f>
        <v>4.95113951974063</v>
      </c>
      <c r="AH218" s="99">
        <f ca="1">MIN(MAX(Z218+IF(AV218&gt;0,B218*BA218/AV218,0)+BF218-AE218,0),TEW)</f>
        <v>4.95113951974063</v>
      </c>
      <c r="AI218" s="99">
        <f ca="1" t="shared" si="34"/>
        <v>12.5661427428527</v>
      </c>
      <c r="AJ218" s="99">
        <f ca="1" t="shared" si="35"/>
        <v>7.16555884100702e-8</v>
      </c>
      <c r="AK218" s="70">
        <f ca="1">IF((AU218+AV218)&gt;0,(TEW-(AG218*AU218+AH218*AV218)/(AU218+AV218))/TEW,(TEW-(AG218+AH218)/2)/TEW)</f>
        <v>0.850531637139906</v>
      </c>
      <c r="AL218" s="70">
        <f ca="1" t="shared" si="36"/>
        <v>0.837693474379654</v>
      </c>
      <c r="AM218" s="70">
        <f ca="1" t="shared" si="37"/>
        <v>0.999999969910342</v>
      </c>
      <c r="AN218" s="70">
        <f ca="1">Wwp+(Wfc-Wwp)*IF((AU218+AV218)&gt;0,(TEW-(AG218*AU218+AH218*AV218)/(AU218+AV218))/TEW,(TEW-(AG218+AH218)/2)/TEW)</f>
        <v>0.380569112828188</v>
      </c>
      <c r="AO218" s="70">
        <f ca="1">Wwp+(Wfc-Wwp)*(R218-AI218)/R218</f>
        <v>0.378900151669355</v>
      </c>
      <c r="AP218" s="70">
        <f ca="1">Wwp+(Wfc-Wwp)*(S218-AJ218)/S218</f>
        <v>0.399999996088345</v>
      </c>
      <c r="AQ218" s="70"/>
      <c r="AR218" s="70"/>
      <c r="AS218" s="70"/>
      <c r="AT218" s="70"/>
      <c r="AU218" s="70">
        <f ca="1">MIN((1-G218),fw)</f>
        <v>0</v>
      </c>
      <c r="AV218" s="70">
        <f ca="1" t="shared" si="38"/>
        <v>0</v>
      </c>
      <c r="AW218" s="70">
        <f ca="1">MIN((TEW-Y218)/(TEW-REW),1)</f>
        <v>0.114855360630946</v>
      </c>
      <c r="AX218" s="70">
        <f ca="1">MIN((TEW-Z218)/(TEW-REW),1)</f>
        <v>0.114855360630946</v>
      </c>
      <c r="AY218" s="70">
        <f ca="1">IF((AU218*(TEW-Y218))&gt;0,1/(1+((AV218*(TEW-Z218))/(AU218*(TEW-Y218)))),0)</f>
        <v>0</v>
      </c>
      <c r="AZ218" s="70">
        <f ca="1">MIN((AY218*AW218*(Kcmax-H218)),AU218*Kcmax)</f>
        <v>0</v>
      </c>
      <c r="BA218" s="70">
        <f ca="1">MIN(((1-AY218)*AX218*(Kcmax-H218)),AV218*Kcmax)</f>
        <v>0</v>
      </c>
      <c r="BB218" s="70">
        <f ca="1" t="shared" si="39"/>
        <v>0</v>
      </c>
      <c r="BC218" s="70">
        <f ca="1">MIN((R218-AA218)/(R218*(1-(p+0.04*(5-I217)))),1)</f>
        <v>1</v>
      </c>
      <c r="BD218" s="10">
        <f ca="1" t="shared" si="40"/>
        <v>4.34173723672853</v>
      </c>
      <c r="BE218" s="70">
        <f ca="1">MIN(IF((1-AA218/R218)&gt;0,(1-Y218/TEW)/(1-AA218/R218)*(Ze/P218)^0.6,0),1)*BC218*H218*B218</f>
        <v>1.71801278742836</v>
      </c>
      <c r="BF218" s="70">
        <f ca="1">MIN(IF((1-AA218/R218)&gt;0,(1-Z218/TEW)/(1-AA218/R218)*(Ze/P218)^0.6,0),1)*BC218*H218*B218</f>
        <v>1.71801278742836</v>
      </c>
      <c r="BH218" s="10">
        <f ca="1" t="shared" si="41"/>
        <v>0.0246538243032729</v>
      </c>
      <c r="BI218" s="10">
        <f ca="1">IF(F218&lt;&gt;"",(Moy_Etobs-F218)^2,"")</f>
        <v>8.35140657274959</v>
      </c>
    </row>
    <row r="219" spans="1:61">
      <c r="A219" s="38">
        <v>39212</v>
      </c>
      <c r="B219" s="10">
        <v>4.832</v>
      </c>
      <c r="C219" s="39">
        <v>0</v>
      </c>
      <c r="D219">
        <v>0.861</v>
      </c>
      <c r="E219" s="39">
        <v>0</v>
      </c>
      <c r="F219"/>
      <c r="G219" s="10">
        <f ca="1">MIN(MAX(IF(AND(Durpla&gt;ROW()-MATCH(NDVImax,INDEX(D:D,Lig_min,1):INDEX(D:D,Lig_max,1),0)-Lig_min+1,ROW()-MATCH(NDVImax,INDEX(D:D,Lig_min,1):INDEX(D:D,Lig_max,1),0)-Lig_min+1&gt;0,D219*a_fc+b_fc&gt;fc_fin),NDVImax*a_fc+b_fc,D219*a_fc+b_fc),0),1)</f>
        <v>1</v>
      </c>
      <c r="H219" s="55">
        <f>MIN(MAX(D219*a_kcb+b_kcb,0),Kcmax)</f>
        <v>1.06867519743612</v>
      </c>
      <c r="I219" s="70">
        <f ca="1" t="shared" si="33"/>
        <v>5.16383855401134</v>
      </c>
      <c r="O219" s="55"/>
      <c r="P219" s="35">
        <f ca="1">IF(ROW()-MATCH(NDVImax,INDEX(D:D,Lig_min,1):INDEX(D:D,Lig_max,1),0)-Lig_min+1&gt;0,MAX(MIN(Zr_min+MAX(INDEX(G:G,Lig_min,1):INDEX(G:G,Lig_max,1))/MAX(MAX(INDEX(G:G,Lig_min,1):INDEX(G:G,Lig_max,1)),Max_fc_pour_Zrmax)*(Zr_max-Zr_min),Zr_max),Ze+0.001),MAX(MIN(Zr_min+G219/MAX(MAX(INDEX(G:G,Lig_min,1):INDEX(G:G,Lig_max,1)),Max_fc_pour_Zrmax)*(Zr_max-Zr_min),Zr_max),Ze+0.001))</f>
        <v>595.55606968994</v>
      </c>
      <c r="Q219" s="35">
        <f ca="1">IF(Z_sol&gt;0,Z_sol-P219,0.1)</f>
        <v>18.318481374494</v>
      </c>
      <c r="R219" s="35">
        <f ca="1">(Wfc-Wwp)*P219</f>
        <v>77.4222890596922</v>
      </c>
      <c r="S219" s="35">
        <f ca="1">(Wfc-Wwp)*Q219</f>
        <v>2.38140257868422</v>
      </c>
      <c r="T219" s="99">
        <f ca="1" t="shared" si="42"/>
        <v>4.95113951974063</v>
      </c>
      <c r="U219" s="99">
        <f ca="1" t="shared" si="43"/>
        <v>4.95113951974063</v>
      </c>
      <c r="V219" s="99">
        <f ca="1">IF(P219&gt;P218,IF(Q219&gt;1,MAX(AI218+(Wfc-Wwp)*(P219-P218)*AJ218/S218,0),AI218/P218*P219),MAX(AI218+(Wfc-Wwp)*(P219-P218)*AI218/R218,0))</f>
        <v>12.5661427428527</v>
      </c>
      <c r="W219" s="99">
        <f ca="1">IF(S219&gt;1,IF(P219&gt;P218,MAX(AJ218-(Wfc-Wwp)*(P219-P218)*AJ218/S218,0),MAX(AJ218-(Wfc-Wwp)*(P219-P218)*AI218/R218,0)),0)</f>
        <v>7.16555884100702e-8</v>
      </c>
      <c r="X219" s="99">
        <f ca="1">IF(AND(OR(AND(dec_vide_TAW&lt;0,V219&gt;R219*(p+0.04*(5-I218))),AND(dec_vide_TAW&gt;0,V219&gt;R219*dec_vide_TAW)),H219&gt;MAX(INDEX(H:H,Lig_min,1):INDEX(H:H,ROW(X219),1))*Kcbmax_stop_irrig*IF(ROW(X219)-lig_kcbmax&gt;0,1,0),MIN(INDEX(H:H,ROW(X219),1):INDEX(H:H,lig_kcbmax,1))&gt;Kcbmin_start_irrig),MIN(MAX(V219-E219*Irri_man-C219,0),Lame_max),0)</f>
        <v>0</v>
      </c>
      <c r="Y219" s="99">
        <f ca="1">MIN(MAX(T219-C219-IF(fw&gt;0,X219/fw*Irri_auto+E219/fw*Irri_man,0),0),TEW)</f>
        <v>4.95113951974063</v>
      </c>
      <c r="Z219" s="99">
        <f ca="1">MIN(MAX(U219-C219,0),TEW)</f>
        <v>4.95113951974063</v>
      </c>
      <c r="AA219" s="99">
        <f ca="1">MIN(MAX(V219-C219-(X219*Irri_auto+E219*Irri_man),0),R219)</f>
        <v>12.5661427428527</v>
      </c>
      <c r="AB219" s="99">
        <f ca="1">MIN(MAX(W219+MIN(V219-C219-(X219*Irri_auto+E219*Irri_man),0),0),S219)</f>
        <v>7.16555884100702e-8</v>
      </c>
      <c r="AC219" s="99">
        <f ca="1">-MIN(W219+MIN(V219-C219-(X219*Irri_auto+E219*Irri_man),0),0)</f>
        <v>0</v>
      </c>
      <c r="AD219" s="39">
        <f ca="1">IF(((R219-AA219)/P219-((Wfc-Wwp)*Ze-Y219)/Ze)/Wfc*DiffE&lt;0,MAX(((R219-AA219)/P219-((Wfc-Wwp)*Ze-Y219)/Ze)/Wfc*DiffE,(R219*Ze-((Wfc-Wwp)*Ze-Y219-AA219)*P219)/(P219+Ze)-AA219),MIN(((R219-AA219)/P219-((Wfc-Wwp)*Ze-Y219)/Ze)/Wfc*DiffE,(R219*Ze-((Wfc-Wwp)*Ze-Y219-AA219)*P219)/(P219+Ze)-AA219))</f>
        <v>4.62731695682003e-8</v>
      </c>
      <c r="AE219" s="39">
        <f ca="1">IF(((R219-AA219)/P219-((Wfc-Wwp)*Ze-Z219)/Ze)/Wfc*DiffE&lt;0,MAX(((R219-AA219)/P219-((Wfc-Wwp)*Ze-Z219)/Ze)/Wfc*DiffE,(R219*Ze-((Wfc-Wwp)*Ze-Z219-AA219)*P219)/(P219+Ze)-AA219),MIN(((R219-AA219)/P219-((Wfc-Wwp)*Ze-Z219)/Ze)/Wfc*DiffE,(R219*Ze-((Wfc-Wwp)*Ze-Z219-AA219)*P219)/(P219+Ze)-AA219))</f>
        <v>4.62731695682003e-8</v>
      </c>
      <c r="AF219" s="39">
        <f ca="1">IF(((S219-AB219)/Q219-(R219-AA219)/P219)/Wfc*DiffR&lt;0,MAX(((S219-AB219)/Q219-(R219-AA219)/P219)/Wfc*DiffR,(S219*P219-(R219-AA219-AB219)*Q219)/(P219+Q219)-AB219),MIN(((S219-AB219)/Q219-(R219-AA219)/P219)/Wfc*DiffR,(S219*P219-(R219-AA219-AB219)*Q219)/(P219+Q219)-AB219))</f>
        <v>5.27496110474736e-8</v>
      </c>
      <c r="AG219" s="99">
        <f ca="1">MIN(MAX(Y219+IF(AU219&gt;0,B219*AZ219/AU219,0)+BE219-AD219,0),TEW)</f>
        <v>7.00594351266206</v>
      </c>
      <c r="AH219" s="99">
        <f ca="1">MIN(MAX(Z219+IF(AV219&gt;0,B219*BA219/AV219,0)+BF219-AE219,0),TEW)</f>
        <v>7.00594351266206</v>
      </c>
      <c r="AI219" s="99">
        <f ca="1" t="shared" si="34"/>
        <v>17.7299812441145</v>
      </c>
      <c r="AJ219" s="99">
        <f ca="1" t="shared" si="35"/>
        <v>1.24405199457544e-7</v>
      </c>
      <c r="AK219" s="70">
        <f ca="1">IF((AU219+AV219)&gt;0,(TEW-(AG219*AU219+AH219*AV219)/(AU219+AV219))/TEW,(TEW-(AG219+AH219)/2)/TEW)</f>
        <v>0.788499818485674</v>
      </c>
      <c r="AL219" s="70">
        <f ca="1" t="shared" si="36"/>
        <v>0.770996421580293</v>
      </c>
      <c r="AM219" s="70">
        <f ca="1" t="shared" si="37"/>
        <v>0.999999947759694</v>
      </c>
      <c r="AN219" s="70">
        <f ca="1">Wwp+(Wfc-Wwp)*IF((AU219+AV219)&gt;0,(TEW-(AG219*AU219+AH219*AV219)/(AU219+AV219))/TEW,(TEW-(AG219+AH219)/2)/TEW)</f>
        <v>0.372504976403138</v>
      </c>
      <c r="AO219" s="70">
        <f ca="1">Wwp+(Wfc-Wwp)*(R219-AI219)/R219</f>
        <v>0.370229534805438</v>
      </c>
      <c r="AP219" s="70">
        <f ca="1">Wwp+(Wfc-Wwp)*(S219-AJ219)/S219</f>
        <v>0.39999999320876</v>
      </c>
      <c r="AQ219" s="70"/>
      <c r="AR219" s="70"/>
      <c r="AS219" s="70"/>
      <c r="AT219" s="70"/>
      <c r="AU219" s="70">
        <f ca="1">MIN((1-G219),fw)</f>
        <v>0</v>
      </c>
      <c r="AV219" s="70">
        <f ca="1" t="shared" si="38"/>
        <v>0</v>
      </c>
      <c r="AW219" s="70">
        <f ca="1">MIN((TEW-Y219)/(TEW-REW),1)</f>
        <v>0.108254135835197</v>
      </c>
      <c r="AX219" s="70">
        <f ca="1">MIN((TEW-Z219)/(TEW-REW),1)</f>
        <v>0.108254135835197</v>
      </c>
      <c r="AY219" s="70">
        <f ca="1">IF((AU219*(TEW-Y219))&gt;0,1/(1+((AV219*(TEW-Z219))/(AU219*(TEW-Y219)))),0)</f>
        <v>0</v>
      </c>
      <c r="AZ219" s="70">
        <f ca="1">MIN((AY219*AW219*(Kcmax-H219)),AU219*Kcmax)</f>
        <v>0</v>
      </c>
      <c r="BA219" s="70">
        <f ca="1">MIN(((1-AY219)*AX219*(Kcmax-H219)),AV219*Kcmax)</f>
        <v>0</v>
      </c>
      <c r="BB219" s="70">
        <f ca="1" t="shared" si="39"/>
        <v>0</v>
      </c>
      <c r="BC219" s="70">
        <f ca="1">MIN((R219-AA219)/(R219*(1-(p+0.04*(5-I218)))),1)</f>
        <v>1</v>
      </c>
      <c r="BD219" s="10">
        <f ca="1" t="shared" si="40"/>
        <v>5.16383855401134</v>
      </c>
      <c r="BE219" s="70">
        <f ca="1">MIN(IF((1-AA219/R219)&gt;0,(1-Y219/TEW)/(1-AA219/R219)*(Ze/P219)^0.6,0),1)*BC219*H219*B219</f>
        <v>2.0548040391946</v>
      </c>
      <c r="BF219" s="70">
        <f ca="1">MIN(IF((1-AA219/R219)&gt;0,(1-Z219/TEW)/(1-AA219/R219)*(Ze/P219)^0.6,0),1)*BC219*H219*B219</f>
        <v>2.0548040391946</v>
      </c>
      <c r="BH219" s="10" t="str">
        <f ca="1" t="shared" si="41"/>
        <v/>
      </c>
      <c r="BI219" s="10" t="str">
        <f ca="1">IF(F219&lt;&gt;"",(Moy_Etobs-F219)^2,"")</f>
        <v/>
      </c>
    </row>
    <row r="220" spans="1:61">
      <c r="A220" s="38">
        <v>39213</v>
      </c>
      <c r="B220" s="10">
        <v>4.305</v>
      </c>
      <c r="C220" s="39">
        <v>0</v>
      </c>
      <c r="D220">
        <v>0.858</v>
      </c>
      <c r="E220" s="39">
        <v>0</v>
      </c>
      <c r="F220" s="10">
        <v>4.8299436</v>
      </c>
      <c r="G220" s="10">
        <f ca="1">MIN(MAX(IF(AND(Durpla&gt;ROW()-MATCH(NDVImax,INDEX(D:D,Lig_min,1):INDEX(D:D,Lig_max,1),0)-Lig_min+1,ROW()-MATCH(NDVImax,INDEX(D:D,Lig_min,1):INDEX(D:D,Lig_max,1),0)-Lig_min+1&gt;0,D220*a_fc+b_fc&gt;fc_fin),NDVImax*a_fc+b_fc,D220*a_fc+b_fc),0),1)</f>
        <v>1</v>
      </c>
      <c r="H220" s="55">
        <f>MIN(MAX(D220*a_kcb+b_kcb,0),Kcmax)</f>
        <v>1.06416601938787</v>
      </c>
      <c r="I220" s="70">
        <f ca="1" t="shared" si="33"/>
        <v>4.58123471346477</v>
      </c>
      <c r="O220" s="55"/>
      <c r="P220" s="35">
        <f ca="1">IF(ROW()-MATCH(NDVImax,INDEX(D:D,Lig_min,1):INDEX(D:D,Lig_max,1),0)-Lig_min+1&gt;0,MAX(MIN(Zr_min+MAX(INDEX(G:G,Lig_min,1):INDEX(G:G,Lig_max,1))/MAX(MAX(INDEX(G:G,Lig_min,1):INDEX(G:G,Lig_max,1)),Max_fc_pour_Zrmax)*(Zr_max-Zr_min),Zr_max),Ze+0.001),MAX(MIN(Zr_min+G220/MAX(MAX(INDEX(G:G,Lig_min,1):INDEX(G:G,Lig_max,1)),Max_fc_pour_Zrmax)*(Zr_max-Zr_min),Zr_max),Ze+0.001))</f>
        <v>595.55606968994</v>
      </c>
      <c r="Q220" s="35">
        <f ca="1">IF(Z_sol&gt;0,Z_sol-P220,0.1)</f>
        <v>18.318481374494</v>
      </c>
      <c r="R220" s="35">
        <f ca="1">(Wfc-Wwp)*P220</f>
        <v>77.4222890596922</v>
      </c>
      <c r="S220" s="35">
        <f ca="1">(Wfc-Wwp)*Q220</f>
        <v>2.38140257868422</v>
      </c>
      <c r="T220" s="99">
        <f ca="1" t="shared" si="42"/>
        <v>7.00594351266206</v>
      </c>
      <c r="U220" s="99">
        <f ca="1" t="shared" si="43"/>
        <v>7.00594351266206</v>
      </c>
      <c r="V220" s="99">
        <f ca="1">IF(P220&gt;P219,IF(Q220&gt;1,MAX(AI219+(Wfc-Wwp)*(P220-P219)*AJ219/S219,0),AI219/P219*P220),MAX(AI219+(Wfc-Wwp)*(P220-P219)*AI219/R219,0))</f>
        <v>17.7299812441145</v>
      </c>
      <c r="W220" s="99">
        <f ca="1">IF(S220&gt;1,IF(P220&gt;P219,MAX(AJ219-(Wfc-Wwp)*(P220-P219)*AJ219/S219,0),MAX(AJ219-(Wfc-Wwp)*(P220-P219)*AI219/R219,0)),0)</f>
        <v>1.24405199457544e-7</v>
      </c>
      <c r="X220" s="99">
        <f ca="1">IF(AND(OR(AND(dec_vide_TAW&lt;0,V220&gt;R220*(p+0.04*(5-I219))),AND(dec_vide_TAW&gt;0,V220&gt;R220*dec_vide_TAW)),H220&gt;MAX(INDEX(H:H,Lig_min,1):INDEX(H:H,ROW(X220),1))*Kcbmax_stop_irrig*IF(ROW(X220)-lig_kcbmax&gt;0,1,0),MIN(INDEX(H:H,ROW(X220),1):INDEX(H:H,lig_kcbmax,1))&gt;Kcbmin_start_irrig),MIN(MAX(V220-E220*Irri_man-C220,0),Lame_max),0)</f>
        <v>0</v>
      </c>
      <c r="Y220" s="99">
        <f ca="1">MIN(MAX(T220-C220-IF(fw&gt;0,X220/fw*Irri_auto+E220/fw*Irri_man,0),0),TEW)</f>
        <v>7.00594351266206</v>
      </c>
      <c r="Z220" s="99">
        <f ca="1">MIN(MAX(U220-C220,0),TEW)</f>
        <v>7.00594351266206</v>
      </c>
      <c r="AA220" s="99">
        <f ca="1">MIN(MAX(V220-C220-(X220*Irri_auto+E220*Irri_man),0),R220)</f>
        <v>17.7299812441145</v>
      </c>
      <c r="AB220" s="99">
        <f ca="1">MIN(MAX(W220+MIN(V220-C220-(X220*Irri_auto+E220*Irri_man),0),0),S220)</f>
        <v>1.24405199457544e-7</v>
      </c>
      <c r="AC220" s="99">
        <f ca="1">-MIN(W220+MIN(V220-C220-(X220*Irri_auto+E220*Irri_man),0),0)</f>
        <v>0</v>
      </c>
      <c r="AD220" s="39">
        <f ca="1">IF(((R220-AA220)/P220-((Wfc-Wwp)*Ze-Y220)/Ze)/Wfc*DiffE&lt;0,MAX(((R220-AA220)/P220-((Wfc-Wwp)*Ze-Y220)/Ze)/Wfc*DiffE,(R220*Ze-((Wfc-Wwp)*Ze-Y220-AA220)*P220)/(P220+Ze)-AA220),MIN(((R220-AA220)/P220-((Wfc-Wwp)*Ze-Y220)/Ze)/Wfc*DiffE,(R220*Ze-((Wfc-Wwp)*Ze-Y220-AA220)*P220)/(P220+Ze)-AA220))</f>
        <v>6.56927072668363e-8</v>
      </c>
      <c r="AE220" s="39">
        <f ca="1">IF(((R220-AA220)/P220-((Wfc-Wwp)*Ze-Z220)/Ze)/Wfc*DiffE&lt;0,MAX(((R220-AA220)/P220-((Wfc-Wwp)*Ze-Z220)/Ze)/Wfc*DiffE,(R220*Ze-((Wfc-Wwp)*Ze-Z220-AA220)*P220)/(P220+Ze)-AA220),MIN(((R220-AA220)/P220-((Wfc-Wwp)*Ze-Z220)/Ze)/Wfc*DiffE,(R220*Ze-((Wfc-Wwp)*Ze-Z220-AA220)*P220)/(P220+Ze)-AA220))</f>
        <v>6.56927072668363e-8</v>
      </c>
      <c r="AF220" s="39">
        <f ca="1">IF(((S220-AB220)/Q220-(R220-AA220)/P220)/Wfc*DiffR&lt;0,MAX(((S220-AB220)/Q220-(R220-AA220)/P220)/Wfc*DiffR,(S220*P220-(R220-AA220-AB220)*Q220)/(P220+Q220)-AB220),MIN(((S220-AB220)/Q220-(R220-AA220)/P220)/Wfc*DiffR,(S220*P220-(R220-AA220-AB220)*Q220)/(P220+Q220)-AB220))</f>
        <v>7.44261460083054e-8</v>
      </c>
      <c r="AG220" s="99">
        <f ca="1">MIN(MAX(Y220+IF(AU220&gt;0,B220*AZ220/AU220,0)+BE220-AD220,0),TEW)</f>
        <v>8.84216124617107</v>
      </c>
      <c r="AH220" s="99">
        <f ca="1">MIN(MAX(Z220+IF(AV220&gt;0,B220*BA220/AV220,0)+BF220-AE220,0),TEW)</f>
        <v>8.84216124617107</v>
      </c>
      <c r="AI220" s="99">
        <f ca="1" t="shared" si="34"/>
        <v>22.3112158831531</v>
      </c>
      <c r="AJ220" s="99">
        <f ca="1" t="shared" si="35"/>
        <v>1.98831345465849e-7</v>
      </c>
      <c r="AK220" s="70">
        <f ca="1">IF((AU220+AV220)&gt;0,(TEW-(AG220*AU220+AH220*AV220)/(AU220+AV220))/TEW,(TEW-(AG220+AH220)/2)/TEW)</f>
        <v>0.733066830304269</v>
      </c>
      <c r="AL220" s="70">
        <f ca="1" t="shared" si="36"/>
        <v>0.711824383467257</v>
      </c>
      <c r="AM220" s="70">
        <f ca="1" t="shared" si="37"/>
        <v>0.999999916506622</v>
      </c>
      <c r="AN220" s="70">
        <f ca="1">Wwp+(Wfc-Wwp)*IF((AU220+AV220)&gt;0,(TEW-(AG220*AU220+AH220*AV220)/(AU220+AV220))/TEW,(TEW-(AG220+AH220)/2)/TEW)</f>
        <v>0.365298687939555</v>
      </c>
      <c r="AO220" s="70">
        <f ca="1">Wwp+(Wfc-Wwp)*(R220-AI220)/R220</f>
        <v>0.362537169850743</v>
      </c>
      <c r="AP220" s="70">
        <f ca="1">Wwp+(Wfc-Wwp)*(S220-AJ220)/S220</f>
        <v>0.399999989145861</v>
      </c>
      <c r="AQ220" s="70"/>
      <c r="AR220" s="70"/>
      <c r="AS220" s="70"/>
      <c r="AT220" s="70"/>
      <c r="AU220" s="70">
        <f ca="1">MIN((1-G220),fw)</f>
        <v>0</v>
      </c>
      <c r="AV220" s="70">
        <f ca="1" t="shared" si="38"/>
        <v>0</v>
      </c>
      <c r="AW220" s="70">
        <f ca="1">MIN((TEW-Y220)/(TEW-REW),1)</f>
        <v>0.100358837612922</v>
      </c>
      <c r="AX220" s="70">
        <f ca="1">MIN((TEW-Z220)/(TEW-REW),1)</f>
        <v>0.100358837612922</v>
      </c>
      <c r="AY220" s="70">
        <f ca="1">IF((AU220*(TEW-Y220))&gt;0,1/(1+((AV220*(TEW-Z220))/(AU220*(TEW-Y220)))),0)</f>
        <v>0</v>
      </c>
      <c r="AZ220" s="70">
        <f ca="1">MIN((AY220*AW220*(Kcmax-H220)),AU220*Kcmax)</f>
        <v>0</v>
      </c>
      <c r="BA220" s="70">
        <f ca="1">MIN(((1-AY220)*AX220*(Kcmax-H220)),AV220*Kcmax)</f>
        <v>0</v>
      </c>
      <c r="BB220" s="70">
        <f ca="1" t="shared" si="39"/>
        <v>0</v>
      </c>
      <c r="BC220" s="70">
        <f ca="1">MIN((R220-AA220)/(R220*(1-(p+0.04*(5-I219)))),1)</f>
        <v>1</v>
      </c>
      <c r="BD220" s="10">
        <f ca="1" t="shared" si="40"/>
        <v>4.58123471346477</v>
      </c>
      <c r="BE220" s="70">
        <f ca="1">MIN(IF((1-AA220/R220)&gt;0,(1-Y220/TEW)/(1-AA220/R220)*(Ze/P220)^0.6,0),1)*BC220*H220*B220</f>
        <v>1.83621779920172</v>
      </c>
      <c r="BF220" s="70">
        <f ca="1">MIN(IF((1-AA220/R220)&gt;0,(1-Z220/TEW)/(1-AA220/R220)*(Ze/P220)^0.6,0),1)*BC220*H220*B220</f>
        <v>1.83621779920172</v>
      </c>
      <c r="BH220" s="10">
        <f ca="1" t="shared" si="41"/>
        <v>0.0618561102415925</v>
      </c>
      <c r="BI220" s="10">
        <f ca="1">IF(F220&lt;&gt;"",(Moy_Etobs-F220)^2,"")</f>
        <v>10.375298563538</v>
      </c>
    </row>
    <row r="221" spans="1:61">
      <c r="A221" s="38">
        <v>39214</v>
      </c>
      <c r="B221" s="10">
        <v>4.587</v>
      </c>
      <c r="C221" s="39">
        <v>0</v>
      </c>
      <c r="D221">
        <v>0.854</v>
      </c>
      <c r="E221" s="39">
        <v>0</v>
      </c>
      <c r="F221" s="10">
        <v>4.370949</v>
      </c>
      <c r="G221" s="10">
        <f ca="1">MIN(MAX(IF(AND(Durpla&gt;ROW()-MATCH(NDVImax,INDEX(D:D,Lig_min,1):INDEX(D:D,Lig_max,1),0)-Lig_min+1,ROW()-MATCH(NDVImax,INDEX(D:D,Lig_min,1):INDEX(D:D,Lig_max,1),0)-Lig_min+1&gt;0,D221*a_fc+b_fc&gt;fc_fin),NDVImax*a_fc+b_fc,D221*a_fc+b_fc),0),1)</f>
        <v>1</v>
      </c>
      <c r="H221" s="55">
        <f>MIN(MAX(D221*a_kcb+b_kcb,0),Kcmax)</f>
        <v>1.0581537819902</v>
      </c>
      <c r="I221" s="70">
        <f ca="1" t="shared" si="33"/>
        <v>4.85375139798903</v>
      </c>
      <c r="O221" s="55"/>
      <c r="P221" s="35">
        <f ca="1">IF(ROW()-MATCH(NDVImax,INDEX(D:D,Lig_min,1):INDEX(D:D,Lig_max,1),0)-Lig_min+1&gt;0,MAX(MIN(Zr_min+MAX(INDEX(G:G,Lig_min,1):INDEX(G:G,Lig_max,1))/MAX(MAX(INDEX(G:G,Lig_min,1):INDEX(G:G,Lig_max,1)),Max_fc_pour_Zrmax)*(Zr_max-Zr_min),Zr_max),Ze+0.001),MAX(MIN(Zr_min+G221/MAX(MAX(INDEX(G:G,Lig_min,1):INDEX(G:G,Lig_max,1)),Max_fc_pour_Zrmax)*(Zr_max-Zr_min),Zr_max),Ze+0.001))</f>
        <v>595.55606968994</v>
      </c>
      <c r="Q221" s="35">
        <f ca="1">IF(Z_sol&gt;0,Z_sol-P221,0.1)</f>
        <v>18.318481374494</v>
      </c>
      <c r="R221" s="35">
        <f ca="1">(Wfc-Wwp)*P221</f>
        <v>77.4222890596922</v>
      </c>
      <c r="S221" s="35">
        <f ca="1">(Wfc-Wwp)*Q221</f>
        <v>2.38140257868422</v>
      </c>
      <c r="T221" s="99">
        <f ca="1" t="shared" si="42"/>
        <v>8.84216124617107</v>
      </c>
      <c r="U221" s="99">
        <f ca="1" t="shared" si="43"/>
        <v>8.84216124617107</v>
      </c>
      <c r="V221" s="99">
        <f ca="1">IF(P221&gt;P220,IF(Q221&gt;1,MAX(AI220+(Wfc-Wwp)*(P221-P220)*AJ220/S220,0),AI220/P220*P221),MAX(AI220+(Wfc-Wwp)*(P221-P220)*AI220/R220,0))</f>
        <v>22.3112158831531</v>
      </c>
      <c r="W221" s="99">
        <f ca="1">IF(S221&gt;1,IF(P221&gt;P220,MAX(AJ220-(Wfc-Wwp)*(P221-P220)*AJ220/S220,0),MAX(AJ220-(Wfc-Wwp)*(P221-P220)*AI220/R220,0)),0)</f>
        <v>1.98831345465849e-7</v>
      </c>
      <c r="X221" s="99">
        <f ca="1">IF(AND(OR(AND(dec_vide_TAW&lt;0,V221&gt;R221*(p+0.04*(5-I220))),AND(dec_vide_TAW&gt;0,V221&gt;R221*dec_vide_TAW)),H221&gt;MAX(INDEX(H:H,Lig_min,1):INDEX(H:H,ROW(X221),1))*Kcbmax_stop_irrig*IF(ROW(X221)-lig_kcbmax&gt;0,1,0),MIN(INDEX(H:H,ROW(X221),1):INDEX(H:H,lig_kcbmax,1))&gt;Kcbmin_start_irrig),MIN(MAX(V221-E221*Irri_man-C221,0),Lame_max),0)</f>
        <v>0</v>
      </c>
      <c r="Y221" s="99">
        <f ca="1">MIN(MAX(T221-C221-IF(fw&gt;0,X221/fw*Irri_auto+E221/fw*Irri_man,0),0),TEW)</f>
        <v>8.84216124617107</v>
      </c>
      <c r="Z221" s="99">
        <f ca="1">MIN(MAX(U221-C221,0),TEW)</f>
        <v>8.84216124617107</v>
      </c>
      <c r="AA221" s="99">
        <f ca="1">MIN(MAX(V221-C221-(X221*Irri_auto+E221*Irri_man),0),R221)</f>
        <v>22.3112158831531</v>
      </c>
      <c r="AB221" s="99">
        <f ca="1">MIN(MAX(W221+MIN(V221-C221-(X221*Irri_auto+E221*Irri_man),0),0),S221)</f>
        <v>1.98831345465849e-7</v>
      </c>
      <c r="AC221" s="99">
        <f ca="1">-MIN(W221+MIN(V221-C221-(X221*Irri_auto+E221*Irri_man),0),0)</f>
        <v>0</v>
      </c>
      <c r="AD221" s="39">
        <f ca="1">IF(((R221-AA221)/P221-((Wfc-Wwp)*Ze-Y221)/Ze)/Wfc*DiffE&lt;0,MAX(((R221-AA221)/P221-((Wfc-Wwp)*Ze-Y221)/Ze)/Wfc*DiffE,(R221*Ze-((Wfc-Wwp)*Ze-Y221-AA221)*P221)/(P221+Ze)-AA221),MIN(((R221-AA221)/P221-((Wfc-Wwp)*Ze-Y221)/Ze)/Wfc*DiffE,(R221*Ze-((Wfc-Wwp)*Ze-Y221-AA221)*P221)/(P221+Ze)-AA221))</f>
        <v>8.31861495502798e-8</v>
      </c>
      <c r="AE221" s="39">
        <f ca="1">IF(((R221-AA221)/P221-((Wfc-Wwp)*Ze-Z221)/Ze)/Wfc*DiffE&lt;0,MAX(((R221-AA221)/P221-((Wfc-Wwp)*Ze-Z221)/Ze)/Wfc*DiffE,(R221*Ze-((Wfc-Wwp)*Ze-Z221-AA221)*P221)/(P221+Ze)-AA221),MIN(((R221-AA221)/P221-((Wfc-Wwp)*Ze-Z221)/Ze)/Wfc*DiffE,(R221*Ze-((Wfc-Wwp)*Ze-Z221-AA221)*P221)/(P221+Ze)-AA221))</f>
        <v>8.31861495502798e-8</v>
      </c>
      <c r="AF221" s="39">
        <f ca="1">IF(((S221-AB221)/Q221-(R221-AA221)/P221)/Wfc*DiffR&lt;0,MAX(((S221-AB221)/Q221-(R221-AA221)/P221)/Wfc*DiffR,(S221*P221-(R221-AA221-AB221)*Q221)/(P221+Q221)-AB221),MIN(((S221-AB221)/Q221-(R221-AA221)/P221)/Wfc*DiffR,(S221*P221-(R221-AA221-AB221)*Q221)/(P221+Q221)-AB221))</f>
        <v>9.36570482377938e-8</v>
      </c>
      <c r="AG221" s="99">
        <f ca="1">MIN(MAX(Y221+IF(AU221&gt;0,B221*AZ221/AU221,0)+BE221-AD221,0),TEW)</f>
        <v>10.8011892010765</v>
      </c>
      <c r="AH221" s="99">
        <f ca="1">MIN(MAX(Z221+IF(AV221&gt;0,B221*BA221/AV221,0)+BF221-AE221,0),TEW)</f>
        <v>10.8011892010765</v>
      </c>
      <c r="AI221" s="99">
        <f ca="1" t="shared" si="34"/>
        <v>27.1649671874851</v>
      </c>
      <c r="AJ221" s="99">
        <f ca="1" t="shared" si="35"/>
        <v>2.92488393703643e-7</v>
      </c>
      <c r="AK221" s="70">
        <f ca="1">IF((AU221+AV221)&gt;0,(TEW-(AG221*AU221+AH221*AV221)/(AU221+AV221))/TEW,(TEW-(AG221+AH221)/2)/TEW)</f>
        <v>0.673926363741087</v>
      </c>
      <c r="AL221" s="70">
        <f ca="1" t="shared" si="36"/>
        <v>0.649132471831968</v>
      </c>
      <c r="AM221" s="70">
        <f ca="1" t="shared" si="37"/>
        <v>0.999999877178098</v>
      </c>
      <c r="AN221" s="70">
        <f ca="1">Wwp+(Wfc-Wwp)*IF((AU221+AV221)&gt;0,(TEW-(AG221*AU221+AH221*AV221)/(AU221+AV221))/TEW,(TEW-(AG221+AH221)/2)/TEW)</f>
        <v>0.357610427286341</v>
      </c>
      <c r="AO221" s="70">
        <f ca="1">Wwp+(Wfc-Wwp)*(R221-AI221)/R221</f>
        <v>0.354387221338156</v>
      </c>
      <c r="AP221" s="70">
        <f ca="1">Wwp+(Wfc-Wwp)*(S221-AJ221)/S221</f>
        <v>0.399999984033153</v>
      </c>
      <c r="AQ221" s="70"/>
      <c r="AR221" s="70"/>
      <c r="AS221" s="70"/>
      <c r="AT221" s="70"/>
      <c r="AU221" s="70">
        <f ca="1">MIN((1-G221),fw)</f>
        <v>0</v>
      </c>
      <c r="AV221" s="70">
        <f ca="1" t="shared" si="38"/>
        <v>0</v>
      </c>
      <c r="AW221" s="70">
        <f ca="1">MIN((TEW-Y221)/(TEW-REW),1)</f>
        <v>0.0933034266554651</v>
      </c>
      <c r="AX221" s="70">
        <f ca="1">MIN((TEW-Z221)/(TEW-REW),1)</f>
        <v>0.0933034266554651</v>
      </c>
      <c r="AY221" s="70">
        <f ca="1">IF((AU221*(TEW-Y221))&gt;0,1/(1+((AV221*(TEW-Z221))/(AU221*(TEW-Y221)))),0)</f>
        <v>0</v>
      </c>
      <c r="AZ221" s="70">
        <f ca="1">MIN((AY221*AW221*(Kcmax-H221)),AU221*Kcmax)</f>
        <v>0</v>
      </c>
      <c r="BA221" s="70">
        <f ca="1">MIN(((1-AY221)*AX221*(Kcmax-H221)),AV221*Kcmax)</f>
        <v>0</v>
      </c>
      <c r="BB221" s="70">
        <f ca="1" t="shared" si="39"/>
        <v>0</v>
      </c>
      <c r="BC221" s="70">
        <f ca="1">MIN((R221-AA221)/(R221*(1-(p+0.04*(5-I220)))),1)</f>
        <v>1</v>
      </c>
      <c r="BD221" s="10">
        <f ca="1" t="shared" si="40"/>
        <v>4.85375139798903</v>
      </c>
      <c r="BE221" s="70">
        <f ca="1">MIN(IF((1-AA221/R221)&gt;0,(1-Y221/TEW)/(1-AA221/R221)*(Ze/P221)^0.6,0),1)*BC221*H221*B221</f>
        <v>1.95902803809156</v>
      </c>
      <c r="BF221" s="70">
        <f ca="1">MIN(IF((1-AA221/R221)&gt;0,(1-Z221/TEW)/(1-AA221/R221)*(Ze/P221)^0.6,0),1)*BC221*H221*B221</f>
        <v>1.95902803809156</v>
      </c>
      <c r="BH221" s="10">
        <f ca="1" t="shared" si="41"/>
        <v>0.23309815550396</v>
      </c>
      <c r="BI221" s="10">
        <f ca="1">IF(F221&lt;&gt;"",(Moy_Etobs-F221)^2,"")</f>
        <v>7.62906619078362</v>
      </c>
    </row>
    <row r="222" spans="1:61">
      <c r="A222" s="38">
        <v>39215</v>
      </c>
      <c r="B222" s="10">
        <v>4</v>
      </c>
      <c r="C222" s="39">
        <v>2.178</v>
      </c>
      <c r="D222">
        <v>0.85</v>
      </c>
      <c r="E222" s="39">
        <v>0</v>
      </c>
      <c r="F222" s="10">
        <v>3.651687</v>
      </c>
      <c r="G222" s="10">
        <f ca="1">MIN(MAX(IF(AND(Durpla&gt;ROW()-MATCH(NDVImax,INDEX(D:D,Lig_min,1):INDEX(D:D,Lig_max,1),0)-Lig_min+1,ROW()-MATCH(NDVImax,INDEX(D:D,Lig_min,1):INDEX(D:D,Lig_max,1),0)-Lig_min+1&gt;0,D222*a_fc+b_fc&gt;fc_fin),NDVImax*a_fc+b_fc,D222*a_fc+b_fc),0),1)</f>
        <v>1</v>
      </c>
      <c r="H222" s="55">
        <f>MIN(MAX(D222*a_kcb+b_kcb,0),Kcmax)</f>
        <v>1.05214154459253</v>
      </c>
      <c r="I222" s="70">
        <f ca="1" t="shared" si="33"/>
        <v>4.2085661783701</v>
      </c>
      <c r="O222" s="55"/>
      <c r="P222" s="35">
        <f ca="1">IF(ROW()-MATCH(NDVImax,INDEX(D:D,Lig_min,1):INDEX(D:D,Lig_max,1),0)-Lig_min+1&gt;0,MAX(MIN(Zr_min+MAX(INDEX(G:G,Lig_min,1):INDEX(G:G,Lig_max,1))/MAX(MAX(INDEX(G:G,Lig_min,1):INDEX(G:G,Lig_max,1)),Max_fc_pour_Zrmax)*(Zr_max-Zr_min),Zr_max),Ze+0.001),MAX(MIN(Zr_min+G222/MAX(MAX(INDEX(G:G,Lig_min,1):INDEX(G:G,Lig_max,1)),Max_fc_pour_Zrmax)*(Zr_max-Zr_min),Zr_max),Ze+0.001))</f>
        <v>595.55606968994</v>
      </c>
      <c r="Q222" s="35">
        <f ca="1">IF(Z_sol&gt;0,Z_sol-P222,0.1)</f>
        <v>18.318481374494</v>
      </c>
      <c r="R222" s="35">
        <f ca="1">(Wfc-Wwp)*P222</f>
        <v>77.4222890596922</v>
      </c>
      <c r="S222" s="35">
        <f ca="1">(Wfc-Wwp)*Q222</f>
        <v>2.38140257868422</v>
      </c>
      <c r="T222" s="99">
        <f ca="1" t="shared" si="42"/>
        <v>10.8011892010765</v>
      </c>
      <c r="U222" s="99">
        <f ca="1" t="shared" si="43"/>
        <v>10.8011892010765</v>
      </c>
      <c r="V222" s="99">
        <f ca="1">IF(P222&gt;P221,IF(Q222&gt;1,MAX(AI221+(Wfc-Wwp)*(P222-P221)*AJ221/S221,0),AI221/P221*P222),MAX(AI221+(Wfc-Wwp)*(P222-P221)*AI221/R221,0))</f>
        <v>27.1649671874851</v>
      </c>
      <c r="W222" s="99">
        <f ca="1">IF(S222&gt;1,IF(P222&gt;P221,MAX(AJ221-(Wfc-Wwp)*(P222-P221)*AJ221/S221,0),MAX(AJ221-(Wfc-Wwp)*(P222-P221)*AI221/R221,0)),0)</f>
        <v>2.92488393703643e-7</v>
      </c>
      <c r="X222" s="99">
        <f ca="1">IF(AND(OR(AND(dec_vide_TAW&lt;0,V222&gt;R222*(p+0.04*(5-I221))),AND(dec_vide_TAW&gt;0,V222&gt;R222*dec_vide_TAW)),H222&gt;MAX(INDEX(H:H,Lig_min,1):INDEX(H:H,ROW(X222),1))*Kcbmax_stop_irrig*IF(ROW(X222)-lig_kcbmax&gt;0,1,0),MIN(INDEX(H:H,ROW(X222),1):INDEX(H:H,lig_kcbmax,1))&gt;Kcbmin_start_irrig),MIN(MAX(V222-E222*Irri_man-C222,0),Lame_max),0)</f>
        <v>0</v>
      </c>
      <c r="Y222" s="99">
        <f ca="1">MIN(MAX(T222-C222-IF(fw&gt;0,X222/fw*Irri_auto+E222/fw*Irri_man,0),0),TEW)</f>
        <v>8.62318920107648</v>
      </c>
      <c r="Z222" s="99">
        <f ca="1">MIN(MAX(U222-C222,0),TEW)</f>
        <v>8.62318920107648</v>
      </c>
      <c r="AA222" s="99">
        <f ca="1">MIN(MAX(V222-C222-(X222*Irri_auto+E222*Irri_man),0),R222)</f>
        <v>24.9869671874851</v>
      </c>
      <c r="AB222" s="99">
        <f ca="1">MIN(MAX(W222+MIN(V222-C222-(X222*Irri_auto+E222*Irri_man),0),0),S222)</f>
        <v>2.92488393703643e-7</v>
      </c>
      <c r="AC222" s="99">
        <f ca="1">-MIN(W222+MIN(V222-C222-(X222*Irri_auto+E222*Irri_man),0),0)</f>
        <v>0</v>
      </c>
      <c r="AD222" s="39">
        <f ca="1">IF(((R222-AA222)/P222-((Wfc-Wwp)*Ze-Y222)/Ze)/Wfc*DiffE&lt;0,MAX(((R222-AA222)/P222-((Wfc-Wwp)*Ze-Y222)/Ze)/Wfc*DiffE,(R222*Ze-((Wfc-Wwp)*Ze-Y222-AA222)*P222)/(P222+Ze)-AA222),MIN(((R222-AA222)/P222-((Wfc-Wwp)*Ze-Y222)/Ze)/Wfc*DiffE,(R222*Ze-((Wfc-Wwp)*Ze-Y222-AA222)*P222)/(P222+Ze)-AA222))</f>
        <v>6.75745533547435e-8</v>
      </c>
      <c r="AE222" s="39">
        <f ca="1">IF(((R222-AA222)/P222-((Wfc-Wwp)*Ze-Z222)/Ze)/Wfc*DiffE&lt;0,MAX(((R222-AA222)/P222-((Wfc-Wwp)*Ze-Z222)/Ze)/Wfc*DiffE,(R222*Ze-((Wfc-Wwp)*Ze-Z222-AA222)*P222)/(P222+Ze)-AA222),MIN(((R222-AA222)/P222-((Wfc-Wwp)*Ze-Z222)/Ze)/Wfc*DiffE,(R222*Ze-((Wfc-Wwp)*Ze-Z222-AA222)*P222)/(P222+Ze)-AA222))</f>
        <v>6.75745533547435e-8</v>
      </c>
      <c r="AF222" s="39">
        <f ca="1">IF(((S222-AB222)/Q222-(R222-AA222)/P222)/Wfc*DiffR&lt;0,MAX(((S222-AB222)/Q222-(R222-AA222)/P222)/Wfc*DiffR,(S222*P222-(R222-AA222-AB222)*Q222)/(P222+Q222)-AB222),MIN(((S222-AB222)/Q222-(R222-AA222)/P222)/Wfc*DiffR,(S222*P222-(R222-AA222-AB222)*Q222)/(P222+Q222)-AB222))</f>
        <v>1.04889190749668e-7</v>
      </c>
      <c r="AG222" s="99">
        <f ca="1">MIN(MAX(Y222+IF(AU222&gt;0,B222*AZ222/AU222,0)+BE222-AD222,0),TEW)</f>
        <v>10.4245923739993</v>
      </c>
      <c r="AH222" s="99">
        <f ca="1">MIN(MAX(Z222+IF(AV222&gt;0,B222*BA222/AV222,0)+BF222-AE222,0),TEW)</f>
        <v>10.4245923739993</v>
      </c>
      <c r="AI222" s="99">
        <f ca="1" t="shared" si="34"/>
        <v>29.195533260966</v>
      </c>
      <c r="AJ222" s="99">
        <f ca="1" t="shared" si="35"/>
        <v>3.97377584453311e-7</v>
      </c>
      <c r="AK222" s="70">
        <f ca="1">IF((AU222+AV222)&gt;0,(TEW-(AG222*AU222+AH222*AV222)/(AU222+AV222))/TEW,(TEW-(AG222+AH222)/2)/TEW)</f>
        <v>0.68529532455851</v>
      </c>
      <c r="AL222" s="70">
        <f ca="1" t="shared" si="36"/>
        <v>0.622905320734493</v>
      </c>
      <c r="AM222" s="70">
        <f ca="1" t="shared" si="37"/>
        <v>0.999999833132966</v>
      </c>
      <c r="AN222" s="70">
        <f ca="1">Wwp+(Wfc-Wwp)*IF((AU222+AV222)&gt;0,(TEW-(AG222*AU222+AH222*AV222)/(AU222+AV222))/TEW,(TEW-(AG222+AH222)/2)/TEW)</f>
        <v>0.359088392192606</v>
      </c>
      <c r="AO222" s="70">
        <f ca="1">Wwp+(Wfc-Wwp)*(R222-AI222)/R222</f>
        <v>0.350977691695484</v>
      </c>
      <c r="AP222" s="70">
        <f ca="1">Wwp+(Wfc-Wwp)*(S222-AJ222)/S222</f>
        <v>0.399999978307286</v>
      </c>
      <c r="AQ222" s="70"/>
      <c r="AR222" s="70"/>
      <c r="AS222" s="70"/>
      <c r="AT222" s="70"/>
      <c r="AU222" s="70">
        <f ca="1">MIN((1-G222),fw)</f>
        <v>0</v>
      </c>
      <c r="AV222" s="70">
        <f ca="1" t="shared" si="38"/>
        <v>0</v>
      </c>
      <c r="AW222" s="70">
        <f ca="1">MIN((TEW-Y222)/(TEW-REW),1)</f>
        <v>0.0941447962480486</v>
      </c>
      <c r="AX222" s="70">
        <f ca="1">MIN((TEW-Z222)/(TEW-REW),1)</f>
        <v>0.0941447962480486</v>
      </c>
      <c r="AY222" s="70">
        <f ca="1">IF((AU222*(TEW-Y222))&gt;0,1/(1+((AV222*(TEW-Z222))/(AU222*(TEW-Y222)))),0)</f>
        <v>0</v>
      </c>
      <c r="AZ222" s="70">
        <f ca="1">MIN((AY222*AW222*(Kcmax-H222)),AU222*Kcmax)</f>
        <v>0</v>
      </c>
      <c r="BA222" s="70">
        <f ca="1">MIN(((1-AY222)*AX222*(Kcmax-H222)),AV222*Kcmax)</f>
        <v>0</v>
      </c>
      <c r="BB222" s="70">
        <f ca="1" t="shared" si="39"/>
        <v>0</v>
      </c>
      <c r="BC222" s="70">
        <f ca="1">MIN((R222-AA222)/(R222*(1-(p+0.04*(5-I221)))),1)</f>
        <v>1</v>
      </c>
      <c r="BD222" s="10">
        <f ca="1" t="shared" si="40"/>
        <v>4.2085661783701</v>
      </c>
      <c r="BE222" s="70">
        <f ca="1">MIN(IF((1-AA222/R222)&gt;0,(1-Y222/TEW)/(1-AA222/R222)*(Ze/P222)^0.6,0),1)*BC222*H222*B222</f>
        <v>1.80140324049742</v>
      </c>
      <c r="BF222" s="70">
        <f ca="1">MIN(IF((1-AA222/R222)&gt;0,(1-Z222/TEW)/(1-AA222/R222)*(Ze/P222)^0.6,0),1)*BC222*H222*B222</f>
        <v>1.80140324049742</v>
      </c>
      <c r="BH222" s="10">
        <f ca="1" t="shared" si="41"/>
        <v>0.310114419302158</v>
      </c>
      <c r="BI222" s="10">
        <f ca="1">IF(F222&lt;&gt;"",(Moy_Etobs-F222)^2,"")</f>
        <v>4.1730907847824</v>
      </c>
    </row>
    <row r="223" spans="1:61">
      <c r="A223" s="38">
        <v>39216</v>
      </c>
      <c r="B223" s="10">
        <v>2.01</v>
      </c>
      <c r="C223" s="39">
        <v>17.226</v>
      </c>
      <c r="D223">
        <v>0.846</v>
      </c>
      <c r="E223" s="39">
        <v>0</v>
      </c>
      <c r="F223" s="10">
        <v>3.3235146</v>
      </c>
      <c r="G223" s="10">
        <f ca="1">MIN(MAX(IF(AND(Durpla&gt;ROW()-MATCH(NDVImax,INDEX(D:D,Lig_min,1):INDEX(D:D,Lig_max,1),0)-Lig_min+1,ROW()-MATCH(NDVImax,INDEX(D:D,Lig_min,1):INDEX(D:D,Lig_max,1),0)-Lig_min+1&gt;0,D223*a_fc+b_fc&gt;fc_fin),NDVImax*a_fc+b_fc,D223*a_fc+b_fc),0),1)</f>
        <v>1</v>
      </c>
      <c r="H223" s="55">
        <f>MIN(MAX(D223*a_kcb+b_kcb,0),Kcmax)</f>
        <v>1.04612930719485</v>
      </c>
      <c r="I223" s="70">
        <f ca="1" t="shared" si="33"/>
        <v>2.10271990746166</v>
      </c>
      <c r="O223" s="55"/>
      <c r="P223" s="35">
        <f ca="1">IF(ROW()-MATCH(NDVImax,INDEX(D:D,Lig_min,1):INDEX(D:D,Lig_max,1),0)-Lig_min+1&gt;0,MAX(MIN(Zr_min+MAX(INDEX(G:G,Lig_min,1):INDEX(G:G,Lig_max,1))/MAX(MAX(INDEX(G:G,Lig_min,1):INDEX(G:G,Lig_max,1)),Max_fc_pour_Zrmax)*(Zr_max-Zr_min),Zr_max),Ze+0.001),MAX(MIN(Zr_min+G223/MAX(MAX(INDEX(G:G,Lig_min,1):INDEX(G:G,Lig_max,1)),Max_fc_pour_Zrmax)*(Zr_max-Zr_min),Zr_max),Ze+0.001))</f>
        <v>595.55606968994</v>
      </c>
      <c r="Q223" s="35">
        <f ca="1">IF(Z_sol&gt;0,Z_sol-P223,0.1)</f>
        <v>18.318481374494</v>
      </c>
      <c r="R223" s="35">
        <f ca="1">(Wfc-Wwp)*P223</f>
        <v>77.4222890596922</v>
      </c>
      <c r="S223" s="35">
        <f ca="1">(Wfc-Wwp)*Q223</f>
        <v>2.38140257868422</v>
      </c>
      <c r="T223" s="99">
        <f ca="1" t="shared" si="42"/>
        <v>10.4245923739993</v>
      </c>
      <c r="U223" s="99">
        <f ca="1" t="shared" si="43"/>
        <v>10.4245923739993</v>
      </c>
      <c r="V223" s="99">
        <f ca="1">IF(P223&gt;P222,IF(Q223&gt;1,MAX(AI222+(Wfc-Wwp)*(P223-P222)*AJ222/S222,0),AI222/P222*P223),MAX(AI222+(Wfc-Wwp)*(P223-P222)*AI222/R222,0))</f>
        <v>29.195533260966</v>
      </c>
      <c r="W223" s="99">
        <f ca="1">IF(S223&gt;1,IF(P223&gt;P222,MAX(AJ222-(Wfc-Wwp)*(P223-P222)*AJ222/S222,0),MAX(AJ222-(Wfc-Wwp)*(P223-P222)*AI222/R222,0)),0)</f>
        <v>3.97377584453311e-7</v>
      </c>
      <c r="X223" s="99">
        <f ca="1">IF(AND(OR(AND(dec_vide_TAW&lt;0,V223&gt;R223*(p+0.04*(5-I222))),AND(dec_vide_TAW&gt;0,V223&gt;R223*dec_vide_TAW)),H223&gt;MAX(INDEX(H:H,Lig_min,1):INDEX(H:H,ROW(X223),1))*Kcbmax_stop_irrig*IF(ROW(X223)-lig_kcbmax&gt;0,1,0),MIN(INDEX(H:H,ROW(X223),1):INDEX(H:H,lig_kcbmax,1))&gt;Kcbmin_start_irrig),MIN(MAX(V223-E223*Irri_man-C223,0),Lame_max),0)</f>
        <v>0</v>
      </c>
      <c r="Y223" s="99">
        <f ca="1">MIN(MAX(T223-C223-IF(fw&gt;0,X223/fw*Irri_auto+E223/fw*Irri_man,0),0),TEW)</f>
        <v>0</v>
      </c>
      <c r="Z223" s="99">
        <f ca="1">MIN(MAX(U223-C223,0),TEW)</f>
        <v>0</v>
      </c>
      <c r="AA223" s="99">
        <f ca="1">MIN(MAX(V223-C223-(X223*Irri_auto+E223*Irri_man),0),R223)</f>
        <v>11.969533260966</v>
      </c>
      <c r="AB223" s="99">
        <f ca="1">MIN(MAX(W223+MIN(V223-C223-(X223*Irri_auto+E223*Irri_man),0),0),S223)</f>
        <v>3.97377584453311e-7</v>
      </c>
      <c r="AC223" s="99">
        <f ca="1">-MIN(W223+MIN(V223-C223-(X223*Irri_auto+E223*Irri_man),0),0)</f>
        <v>0</v>
      </c>
      <c r="AD223" s="39">
        <f ca="1">IF(((R223-AA223)/P223-((Wfc-Wwp)*Ze-Y223)/Ze)/Wfc*DiffE&lt;0,MAX(((R223-AA223)/P223-((Wfc-Wwp)*Ze-Y223)/Ze)/Wfc*DiffE,(R223*Ze-((Wfc-Wwp)*Ze-Y223-AA223)*P223)/(P223+Ze)-AA223),MIN(((R223-AA223)/P223-((Wfc-Wwp)*Ze-Y223)/Ze)/Wfc*DiffE,(R223*Ze-((Wfc-Wwp)*Ze-Y223-AA223)*P223)/(P223+Ze)-AA223))</f>
        <v>-5.02451988575886e-8</v>
      </c>
      <c r="AE223" s="39">
        <f ca="1">IF(((R223-AA223)/P223-((Wfc-Wwp)*Ze-Z223)/Ze)/Wfc*DiffE&lt;0,MAX(((R223-AA223)/P223-((Wfc-Wwp)*Ze-Z223)/Ze)/Wfc*DiffE,(R223*Ze-((Wfc-Wwp)*Ze-Z223-AA223)*P223)/(P223+Ze)-AA223),MIN(((R223-AA223)/P223-((Wfc-Wwp)*Ze-Z223)/Ze)/Wfc*DiffE,(R223*Ze-((Wfc-Wwp)*Ze-Z223-AA223)*P223)/(P223+Ze)-AA223))</f>
        <v>-5.02451988575886e-8</v>
      </c>
      <c r="AF223" s="39">
        <f ca="1">IF(((S223-AB223)/Q223-(R223-AA223)/P223)/Wfc*DiffR&lt;0,MAX(((S223-AB223)/Q223-(R223-AA223)/P223)/Wfc*DiffR,(S223*P223-(R223-AA223-AB223)*Q223)/(P223+Q223)-AB223),MIN(((S223-AB223)/Q223-(R223-AA223)/P223)/Wfc*DiffR,(S223*P223-(R223-AA223-AB223)*Q223)/(P223+Q223)-AB223))</f>
        <v>5.02451446258027e-8</v>
      </c>
      <c r="AG223" s="99">
        <f ca="1">MIN(MAX(Y223+IF(AU223&gt;0,B223*AZ223/AU223,0)+BE223-AD223,0),TEW)</f>
        <v>0.974791950603081</v>
      </c>
      <c r="AH223" s="99">
        <f ca="1">MIN(MAX(Z223+IF(AV223&gt;0,B223*BA223/AV223,0)+BF223-AE223,0),TEW)</f>
        <v>0.974791950603081</v>
      </c>
      <c r="AI223" s="99">
        <f ca="1" t="shared" si="34"/>
        <v>14.0722531181825</v>
      </c>
      <c r="AJ223" s="99">
        <f ca="1" t="shared" si="35"/>
        <v>4.47622729079114e-7</v>
      </c>
      <c r="AK223" s="70">
        <f ca="1">IF((AU223+AV223)&gt;0,(TEW-(AG223*AU223+AH223*AV223)/(AU223+AV223))/TEW,(TEW-(AG223+AH223)/2)/TEW)</f>
        <v>0.97057231847236</v>
      </c>
      <c r="AL223" s="70">
        <f ca="1" t="shared" si="36"/>
        <v>0.818240285981045</v>
      </c>
      <c r="AM223" s="70">
        <f ca="1" t="shared" si="37"/>
        <v>0.999999812033995</v>
      </c>
      <c r="AN223" s="70">
        <f ca="1">Wwp+(Wfc-Wwp)*IF((AU223+AV223)&gt;0,(TEW-(AG223*AU223+AH223*AV223)/(AU223+AV223))/TEW,(TEW-(AG223+AH223)/2)/TEW)</f>
        <v>0.396174401401407</v>
      </c>
      <c r="AO223" s="70">
        <f ca="1">Wwp+(Wfc-Wwp)*(R223-AI223)/R223</f>
        <v>0.376371237177536</v>
      </c>
      <c r="AP223" s="70">
        <f ca="1">Wwp+(Wfc-Wwp)*(S223-AJ223)/S223</f>
        <v>0.399999975564419</v>
      </c>
      <c r="AQ223" s="70"/>
      <c r="AR223" s="70"/>
      <c r="AS223" s="70"/>
      <c r="AT223" s="70"/>
      <c r="AU223" s="70">
        <f ca="1">MIN((1-G223),fw)</f>
        <v>0</v>
      </c>
      <c r="AV223" s="70">
        <f ca="1" t="shared" si="38"/>
        <v>0</v>
      </c>
      <c r="AW223" s="70">
        <f ca="1">MIN((TEW-Y223)/(TEW-REW),1)</f>
        <v>0.12727820001996</v>
      </c>
      <c r="AX223" s="70">
        <f ca="1">MIN((TEW-Z223)/(TEW-REW),1)</f>
        <v>0.12727820001996</v>
      </c>
      <c r="AY223" s="70">
        <f ca="1">IF((AU223*(TEW-Y223))&gt;0,1/(1+((AV223*(TEW-Z223))/(AU223*(TEW-Y223)))),0)</f>
        <v>0</v>
      </c>
      <c r="AZ223" s="70">
        <f ca="1">MIN((AY223*AW223*(Kcmax-H223)),AU223*Kcmax)</f>
        <v>0</v>
      </c>
      <c r="BA223" s="70">
        <f ca="1">MIN(((1-AY223)*AX223*(Kcmax-H223)),AV223*Kcmax)</f>
        <v>0</v>
      </c>
      <c r="BB223" s="70">
        <f ca="1" t="shared" si="39"/>
        <v>0</v>
      </c>
      <c r="BC223" s="70">
        <f ca="1">MIN((R223-AA223)/(R223*(1-(p+0.04*(5-I222)))),1)</f>
        <v>1</v>
      </c>
      <c r="BD223" s="10">
        <f ca="1" t="shared" si="40"/>
        <v>2.10271990746166</v>
      </c>
      <c r="BE223" s="70">
        <f ca="1">MIN(IF((1-AA223/R223)&gt;0,(1-Y223/TEW)/(1-AA223/R223)*(Ze/P223)^0.6,0),1)*BC223*H223*B223</f>
        <v>0.974791900357882</v>
      </c>
      <c r="BF223" s="70">
        <f ca="1">MIN(IF((1-AA223/R223)&gt;0,(1-Z223/TEW)/(1-AA223/R223)*(Ze/P223)^0.6,0),1)*BC223*H223*B223</f>
        <v>0.974791900357882</v>
      </c>
      <c r="BH223" s="10">
        <f ca="1" t="shared" si="41"/>
        <v>1.49033968132979</v>
      </c>
      <c r="BI223" s="10">
        <f ca="1">IF(F223&lt;&gt;"",(Moy_Etobs-F223)^2,"")</f>
        <v>2.93999728211699</v>
      </c>
    </row>
    <row r="224" spans="1:61">
      <c r="A224" s="38">
        <v>39217</v>
      </c>
      <c r="B224" s="10">
        <v>3.488</v>
      </c>
      <c r="C224" s="39">
        <v>0</v>
      </c>
      <c r="D224">
        <v>0.843</v>
      </c>
      <c r="E224" s="39">
        <v>0</v>
      </c>
      <c r="F224" s="10">
        <v>4.38138</v>
      </c>
      <c r="G224" s="10">
        <f ca="1">MIN(MAX(IF(AND(Durpla&gt;ROW()-MATCH(NDVImax,INDEX(D:D,Lig_min,1):INDEX(D:D,Lig_max,1),0)-Lig_min+1,ROW()-MATCH(NDVImax,INDEX(D:D,Lig_min,1):INDEX(D:D,Lig_max,1),0)-Lig_min+1&gt;0,D224*a_fc+b_fc&gt;fc_fin),NDVImax*a_fc+b_fc,D224*a_fc+b_fc),0),1)</f>
        <v>1</v>
      </c>
      <c r="H224" s="55">
        <f>MIN(MAX(D224*a_kcb+b_kcb,0),Kcmax)</f>
        <v>1.0416201291466</v>
      </c>
      <c r="I224" s="70">
        <f ca="1" t="shared" si="33"/>
        <v>3.63317101046334</v>
      </c>
      <c r="O224" s="55"/>
      <c r="P224" s="35">
        <f ca="1">IF(ROW()-MATCH(NDVImax,INDEX(D:D,Lig_min,1):INDEX(D:D,Lig_max,1),0)-Lig_min+1&gt;0,MAX(MIN(Zr_min+MAX(INDEX(G:G,Lig_min,1):INDEX(G:G,Lig_max,1))/MAX(MAX(INDEX(G:G,Lig_min,1):INDEX(G:G,Lig_max,1)),Max_fc_pour_Zrmax)*(Zr_max-Zr_min),Zr_max),Ze+0.001),MAX(MIN(Zr_min+G224/MAX(MAX(INDEX(G:G,Lig_min,1):INDEX(G:G,Lig_max,1)),Max_fc_pour_Zrmax)*(Zr_max-Zr_min),Zr_max),Ze+0.001))</f>
        <v>595.55606968994</v>
      </c>
      <c r="Q224" s="35">
        <f ca="1">IF(Z_sol&gt;0,Z_sol-P224,0.1)</f>
        <v>18.318481374494</v>
      </c>
      <c r="R224" s="35">
        <f ca="1">(Wfc-Wwp)*P224</f>
        <v>77.4222890596922</v>
      </c>
      <c r="S224" s="35">
        <f ca="1">(Wfc-Wwp)*Q224</f>
        <v>2.38140257868422</v>
      </c>
      <c r="T224" s="99">
        <f ca="1" t="shared" si="42"/>
        <v>0.974791950603081</v>
      </c>
      <c r="U224" s="99">
        <f ca="1" t="shared" si="43"/>
        <v>0.974791950603081</v>
      </c>
      <c r="V224" s="99">
        <f ca="1">IF(P224&gt;P223,IF(Q224&gt;1,MAX(AI223+(Wfc-Wwp)*(P224-P223)*AJ223/S223,0),AI223/P223*P224),MAX(AI223+(Wfc-Wwp)*(P224-P223)*AI223/R223,0))</f>
        <v>14.0722531181825</v>
      </c>
      <c r="W224" s="99">
        <f ca="1">IF(S224&gt;1,IF(P224&gt;P223,MAX(AJ223-(Wfc-Wwp)*(P224-P223)*AJ223/S223,0),MAX(AJ223-(Wfc-Wwp)*(P224-P223)*AI223/R223,0)),0)</f>
        <v>4.47622729079114e-7</v>
      </c>
      <c r="X224" s="99">
        <f ca="1">IF(AND(OR(AND(dec_vide_TAW&lt;0,V224&gt;R224*(p+0.04*(5-I223))),AND(dec_vide_TAW&gt;0,V224&gt;R224*dec_vide_TAW)),H224&gt;MAX(INDEX(H:H,Lig_min,1):INDEX(H:H,ROW(X224),1))*Kcbmax_stop_irrig*IF(ROW(X224)-lig_kcbmax&gt;0,1,0),MIN(INDEX(H:H,ROW(X224),1):INDEX(H:H,lig_kcbmax,1))&gt;Kcbmin_start_irrig),MIN(MAX(V224-E224*Irri_man-C224,0),Lame_max),0)</f>
        <v>0</v>
      </c>
      <c r="Y224" s="99">
        <f ca="1">MIN(MAX(T224-C224-IF(fw&gt;0,X224/fw*Irri_auto+E224/fw*Irri_man,0),0),TEW)</f>
        <v>0.974791950603081</v>
      </c>
      <c r="Z224" s="99">
        <f ca="1">MIN(MAX(U224-C224,0),TEW)</f>
        <v>0.974791950603081</v>
      </c>
      <c r="AA224" s="99">
        <f ca="1">MIN(MAX(V224-C224-(X224*Irri_auto+E224*Irri_man),0),R224)</f>
        <v>14.0722531181825</v>
      </c>
      <c r="AB224" s="99">
        <f ca="1">MIN(MAX(W224+MIN(V224-C224-(X224*Irri_auto+E224*Irri_man),0),0),S224)</f>
        <v>4.47622729079114e-7</v>
      </c>
      <c r="AC224" s="99">
        <f ca="1">-MIN(W224+MIN(V224-C224-(X224*Irri_auto+E224*Irri_man),0),0)</f>
        <v>0</v>
      </c>
      <c r="AD224" s="39">
        <f ca="1">IF(((R224-AA224)/P224-((Wfc-Wwp)*Ze-Y224)/Ze)/Wfc*DiffE&lt;0,MAX(((R224-AA224)/P224-((Wfc-Wwp)*Ze-Y224)/Ze)/Wfc*DiffE,(R224*Ze-((Wfc-Wwp)*Ze-Y224-AA224)*P224)/(P224+Ze)-AA224),MIN(((R224-AA224)/P224-((Wfc-Wwp)*Ze-Y224)/Ze)/Wfc*DiffE,(R224*Ze-((Wfc-Wwp)*Ze-Y224-AA224)*P224)/(P224+Ze)-AA224))</f>
        <v>-3.95760680440986e-8</v>
      </c>
      <c r="AE224" s="39">
        <f ca="1">IF(((R224-AA224)/P224-((Wfc-Wwp)*Ze-Z224)/Ze)/Wfc*DiffE&lt;0,MAX(((R224-AA224)/P224-((Wfc-Wwp)*Ze-Z224)/Ze)/Wfc*DiffE,(R224*Ze-((Wfc-Wwp)*Ze-Z224-AA224)*P224)/(P224+Ze)-AA224),MIN(((R224-AA224)/P224-((Wfc-Wwp)*Ze-Z224)/Ze)/Wfc*DiffE,(R224*Ze-((Wfc-Wwp)*Ze-Z224-AA224)*P224)/(P224+Ze)-AA224))</f>
        <v>-3.95760680440986e-8</v>
      </c>
      <c r="AF224" s="39">
        <f ca="1">IF(((S224-AB224)/Q224-(R224-AA224)/P224)/Wfc*DiffR&lt;0,MAX(((S224-AB224)/Q224-(R224-AA224)/P224)/Wfc*DiffR,(S224*P224-(R224-AA224-AB224)*Q224)/(P224+Q224)-AB224),MIN(((S224-AB224)/Q224-(R224-AA224)/P224)/Wfc*DiffR,(S224*P224-(R224-AA224-AB224)*Q224)/(P224+Q224)-AB224))</f>
        <v>5.90718459672086e-8</v>
      </c>
      <c r="AG224" s="99">
        <f ca="1">MIN(MAX(Y224+IF(AU224&gt;0,B224*AZ224/AU224,0)+BE224-AD224,0),TEW)</f>
        <v>2.66377506485454</v>
      </c>
      <c r="AH224" s="99">
        <f ca="1">MIN(MAX(Z224+IF(AV224&gt;0,B224*BA224/AV224,0)+BF224-AE224,0),TEW)</f>
        <v>2.66377506485454</v>
      </c>
      <c r="AI224" s="99">
        <f ca="1" t="shared" si="34"/>
        <v>17.705424069574</v>
      </c>
      <c r="AJ224" s="99">
        <f ca="1" t="shared" si="35"/>
        <v>5.06694575046322e-7</v>
      </c>
      <c r="AK224" s="70">
        <f ca="1">IF((AU224+AV224)&gt;0,(TEW-(AG224*AU224+AH224*AV224)/(AU224+AV224))/TEW,(TEW-(AG224+AH224)/2)/TEW)</f>
        <v>0.919584148985523</v>
      </c>
      <c r="AL224" s="70">
        <f ca="1" t="shared" si="36"/>
        <v>0.77131360639669</v>
      </c>
      <c r="AM224" s="70">
        <f ca="1" t="shared" si="37"/>
        <v>0.99999978722851</v>
      </c>
      <c r="AN224" s="70">
        <f ca="1">Wwp+(Wfc-Wwp)*IF((AU224+AV224)&gt;0,(TEW-(AG224*AU224+AH224*AV224)/(AU224+AV224))/TEW,(TEW-(AG224+AH224)/2)/TEW)</f>
        <v>0.389545939368118</v>
      </c>
      <c r="AO224" s="70">
        <f ca="1">Wwp+(Wfc-Wwp)*(R224-AI224)/R224</f>
        <v>0.37027076883157</v>
      </c>
      <c r="AP224" s="70">
        <f ca="1">Wwp+(Wfc-Wwp)*(S224-AJ224)/S224</f>
        <v>0.399999972339706</v>
      </c>
      <c r="AQ224" s="70"/>
      <c r="AR224" s="70"/>
      <c r="AS224" s="70"/>
      <c r="AT224" s="70"/>
      <c r="AU224" s="70">
        <f ca="1">MIN((1-G224),fw)</f>
        <v>0</v>
      </c>
      <c r="AV224" s="70">
        <f ca="1" t="shared" si="38"/>
        <v>0</v>
      </c>
      <c r="AW224" s="70">
        <f ca="1">MIN((TEW-Y224)/(TEW-REW),1)</f>
        <v>0.123532697684362</v>
      </c>
      <c r="AX224" s="70">
        <f ca="1">MIN((TEW-Z224)/(TEW-REW),1)</f>
        <v>0.123532697684362</v>
      </c>
      <c r="AY224" s="70">
        <f ca="1">IF((AU224*(TEW-Y224))&gt;0,1/(1+((AV224*(TEW-Z224))/(AU224*(TEW-Y224)))),0)</f>
        <v>0</v>
      </c>
      <c r="AZ224" s="70">
        <f ca="1">MIN((AY224*AW224*(Kcmax-H224)),AU224*Kcmax)</f>
        <v>0</v>
      </c>
      <c r="BA224" s="70">
        <f ca="1">MIN(((1-AY224)*AX224*(Kcmax-H224)),AV224*Kcmax)</f>
        <v>0</v>
      </c>
      <c r="BB224" s="70">
        <f ca="1" t="shared" si="39"/>
        <v>0</v>
      </c>
      <c r="BC224" s="70">
        <f ca="1">MIN((R224-AA224)/(R224*(1-(p+0.04*(5-I223)))),1)</f>
        <v>1</v>
      </c>
      <c r="BD224" s="10">
        <f ca="1" t="shared" si="40"/>
        <v>3.63317101046334</v>
      </c>
      <c r="BE224" s="70">
        <f ca="1">MIN(IF((1-AA224/R224)&gt;0,(1-Y224/TEW)/(1-AA224/R224)*(Ze/P224)^0.6,0),1)*BC224*H224*B224</f>
        <v>1.68898307467539</v>
      </c>
      <c r="BF224" s="70">
        <f ca="1">MIN(IF((1-AA224/R224)&gt;0,(1-Z224/TEW)/(1-AA224/R224)*(Ze/P224)^0.6,0),1)*BC224*H224*B224</f>
        <v>1.68898307467539</v>
      </c>
      <c r="BH224" s="10">
        <f ca="1" t="shared" si="41"/>
        <v>0.559816692023468</v>
      </c>
      <c r="BI224" s="10">
        <f ca="1">IF(F224&lt;&gt;"",(Moy_Etobs-F224)^2,"")</f>
        <v>7.68679743497298</v>
      </c>
    </row>
    <row r="225" spans="1:61">
      <c r="A225" s="38">
        <v>39218</v>
      </c>
      <c r="B225" s="10">
        <v>2.12</v>
      </c>
      <c r="C225" s="39">
        <v>1.188</v>
      </c>
      <c r="D225">
        <v>0.839</v>
      </c>
      <c r="E225" s="39">
        <v>0</v>
      </c>
      <c r="F225" s="10">
        <v>3.260772</v>
      </c>
      <c r="G225" s="10">
        <f ca="1">MIN(MAX(IF(AND(Durpla&gt;ROW()-MATCH(NDVImax,INDEX(D:D,Lig_min,1):INDEX(D:D,Lig_max,1),0)-Lig_min+1,ROW()-MATCH(NDVImax,INDEX(D:D,Lig_min,1):INDEX(D:D,Lig_max,1),0)-Lig_min+1&gt;0,D225*a_fc+b_fc&gt;fc_fin),NDVImax*a_fc+b_fc,D225*a_fc+b_fc),0),1)</f>
        <v>1</v>
      </c>
      <c r="H225" s="55">
        <f>MIN(MAX(D225*a_kcb+b_kcb,0),Kcmax)</f>
        <v>1.03560789174893</v>
      </c>
      <c r="I225" s="70">
        <f ca="1" t="shared" si="33"/>
        <v>2.19548873050773</v>
      </c>
      <c r="O225" s="55"/>
      <c r="P225" s="35">
        <f ca="1">IF(ROW()-MATCH(NDVImax,INDEX(D:D,Lig_min,1):INDEX(D:D,Lig_max,1),0)-Lig_min+1&gt;0,MAX(MIN(Zr_min+MAX(INDEX(G:G,Lig_min,1):INDEX(G:G,Lig_max,1))/MAX(MAX(INDEX(G:G,Lig_min,1):INDEX(G:G,Lig_max,1)),Max_fc_pour_Zrmax)*(Zr_max-Zr_min),Zr_max),Ze+0.001),MAX(MIN(Zr_min+G225/MAX(MAX(INDEX(G:G,Lig_min,1):INDEX(G:G,Lig_max,1)),Max_fc_pour_Zrmax)*(Zr_max-Zr_min),Zr_max),Ze+0.001))</f>
        <v>595.55606968994</v>
      </c>
      <c r="Q225" s="35">
        <f ca="1">IF(Z_sol&gt;0,Z_sol-P225,0.1)</f>
        <v>18.318481374494</v>
      </c>
      <c r="R225" s="35">
        <f ca="1">(Wfc-Wwp)*P225</f>
        <v>77.4222890596922</v>
      </c>
      <c r="S225" s="35">
        <f ca="1">(Wfc-Wwp)*Q225</f>
        <v>2.38140257868422</v>
      </c>
      <c r="T225" s="99">
        <f ca="1" t="shared" si="42"/>
        <v>2.66377506485454</v>
      </c>
      <c r="U225" s="99">
        <f ca="1" t="shared" si="43"/>
        <v>2.66377506485454</v>
      </c>
      <c r="V225" s="99">
        <f ca="1">IF(P225&gt;P224,IF(Q225&gt;1,MAX(AI224+(Wfc-Wwp)*(P225-P224)*AJ224/S224,0),AI224/P224*P225),MAX(AI224+(Wfc-Wwp)*(P225-P224)*AI224/R224,0))</f>
        <v>17.705424069574</v>
      </c>
      <c r="W225" s="99">
        <f ca="1">IF(S225&gt;1,IF(P225&gt;P224,MAX(AJ224-(Wfc-Wwp)*(P225-P224)*AJ224/S224,0),MAX(AJ224-(Wfc-Wwp)*(P225-P224)*AI224/R224,0)),0)</f>
        <v>5.06694575046322e-7</v>
      </c>
      <c r="X225" s="99">
        <f ca="1">IF(AND(OR(AND(dec_vide_TAW&lt;0,V225&gt;R225*(p+0.04*(5-I224))),AND(dec_vide_TAW&gt;0,V225&gt;R225*dec_vide_TAW)),H225&gt;MAX(INDEX(H:H,Lig_min,1):INDEX(H:H,ROW(X225),1))*Kcbmax_stop_irrig*IF(ROW(X225)-lig_kcbmax&gt;0,1,0),MIN(INDEX(H:H,ROW(X225),1):INDEX(H:H,lig_kcbmax,1))&gt;Kcbmin_start_irrig),MIN(MAX(V225-E225*Irri_man-C225,0),Lame_max),0)</f>
        <v>0</v>
      </c>
      <c r="Y225" s="99">
        <f ca="1">MIN(MAX(T225-C225-IF(fw&gt;0,X225/fw*Irri_auto+E225/fw*Irri_man,0),0),TEW)</f>
        <v>1.47577506485454</v>
      </c>
      <c r="Z225" s="99">
        <f ca="1">MIN(MAX(U225-C225,0),TEW)</f>
        <v>1.47577506485454</v>
      </c>
      <c r="AA225" s="99">
        <f ca="1">MIN(MAX(V225-C225-(X225*Irri_auto+E225*Irri_man),0),R225)</f>
        <v>16.517424069574</v>
      </c>
      <c r="AB225" s="99">
        <f ca="1">MIN(MAX(W225+MIN(V225-C225-(X225*Irri_auto+E225*Irri_man),0),0),S225)</f>
        <v>5.06694575046322e-7</v>
      </c>
      <c r="AC225" s="99">
        <f ca="1">-MIN(W225+MIN(V225-C225-(X225*Irri_auto+E225*Irri_man),0),0)</f>
        <v>0</v>
      </c>
      <c r="AD225" s="39">
        <f ca="1">IF(((R225-AA225)/P225-((Wfc-Wwp)*Ze-Y225)/Ze)/Wfc*DiffE&lt;0,MAX(((R225-AA225)/P225-((Wfc-Wwp)*Ze-Y225)/Ze)/Wfc*DiffE,(R225*Ze-((Wfc-Wwp)*Ze-Y225-AA225)*P225)/(P225+Ze)-AA225),MIN(((R225-AA225)/P225-((Wfc-Wwp)*Ze-Y225)/Ze)/Wfc*DiffE,(R225*Ze-((Wfc-Wwp)*Ze-Y225-AA225)*P225)/(P225+Ze)-AA225))</f>
        <v>-3.98206406306261e-8</v>
      </c>
      <c r="AE225" s="39">
        <f ca="1">IF(((R225-AA225)/P225-((Wfc-Wwp)*Ze-Z225)/Ze)/Wfc*DiffE&lt;0,MAX(((R225-AA225)/P225-((Wfc-Wwp)*Ze-Z225)/Ze)/Wfc*DiffE,(R225*Ze-((Wfc-Wwp)*Ze-Z225-AA225)*P225)/(P225+Ze)-AA225),MIN(((R225-AA225)/P225-((Wfc-Wwp)*Ze-Z225)/Ze)/Wfc*DiffE,(R225*Ze-((Wfc-Wwp)*Ze-Z225-AA225)*P225)/(P225+Ze)-AA225))</f>
        <v>-3.98206406306261e-8</v>
      </c>
      <c r="AF225" s="39">
        <f ca="1">IF(((S225-AB225)/Q225-(R225-AA225)/P225)/Wfc*DiffR&lt;0,MAX(((S225-AB225)/Q225-(R225-AA225)/P225)/Wfc*DiffR,(S225*P225-(R225-AA225-AB225)*Q225)/(P225+Q225)-AB225),MIN(((S225-AB225)/Q225-(R225-AA225)/P225)/Wfc*DiffR,(S225*P225-(R225-AA225-AB225)*Q225)/(P225+Q225)-AB225))</f>
        <v>6.93360727769828e-8</v>
      </c>
      <c r="AG225" s="99">
        <f ca="1">MIN(MAX(Y225+IF(AU225&gt;0,B225*AZ225/AU225,0)+BE225-AD225,0),TEW)</f>
        <v>2.52084380669297</v>
      </c>
      <c r="AH225" s="99">
        <f ca="1">MIN(MAX(Z225+IF(AV225&gt;0,B225*BA225/AV225,0)+BF225-AE225,0),TEW)</f>
        <v>2.52084380669297</v>
      </c>
      <c r="AI225" s="99">
        <f ca="1" t="shared" si="34"/>
        <v>18.7129127307456</v>
      </c>
      <c r="AJ225" s="99">
        <f ca="1" t="shared" si="35"/>
        <v>5.76030647823305e-7</v>
      </c>
      <c r="AK225" s="70">
        <f ca="1">IF((AU225+AV225)&gt;0,(TEW-(AG225*AU225+AH225*AV225)/(AU225+AV225))/TEW,(TEW-(AG225+AH225)/2)/TEW)</f>
        <v>0.923899054892288</v>
      </c>
      <c r="AL225" s="70">
        <f ca="1" t="shared" si="36"/>
        <v>0.758300704383487</v>
      </c>
      <c r="AM225" s="70">
        <f ca="1" t="shared" si="37"/>
        <v>0.999999758112865</v>
      </c>
      <c r="AN225" s="70">
        <f ca="1">Wwp+(Wfc-Wwp)*IF((AU225+AV225)&gt;0,(TEW-(AG225*AU225+AH225*AV225)/(AU225+AV225))/TEW,(TEW-(AG225+AH225)/2)/TEW)</f>
        <v>0.390106877135997</v>
      </c>
      <c r="AO225" s="70">
        <f ca="1">Wwp+(Wfc-Wwp)*(R225-AI225)/R225</f>
        <v>0.368579091569853</v>
      </c>
      <c r="AP225" s="70">
        <f ca="1">Wwp+(Wfc-Wwp)*(S225-AJ225)/S225</f>
        <v>0.399999968554672</v>
      </c>
      <c r="AQ225" s="70"/>
      <c r="AR225" s="70"/>
      <c r="AS225" s="70"/>
      <c r="AT225" s="70"/>
      <c r="AU225" s="70">
        <f ca="1">MIN((1-G225),fw)</f>
        <v>0</v>
      </c>
      <c r="AV225" s="70">
        <f ca="1" t="shared" si="38"/>
        <v>0</v>
      </c>
      <c r="AW225" s="70">
        <f ca="1">MIN((TEW-Y225)/(TEW-REW),1)</f>
        <v>0.121607739827084</v>
      </c>
      <c r="AX225" s="70">
        <f ca="1">MIN((TEW-Z225)/(TEW-REW),1)</f>
        <v>0.121607739827084</v>
      </c>
      <c r="AY225" s="70">
        <f ca="1">IF((AU225*(TEW-Y225))&gt;0,1/(1+((AV225*(TEW-Z225))/(AU225*(TEW-Y225)))),0)</f>
        <v>0</v>
      </c>
      <c r="AZ225" s="70">
        <f ca="1">MIN((AY225*AW225*(Kcmax-H225)),AU225*Kcmax)</f>
        <v>0</v>
      </c>
      <c r="BA225" s="70">
        <f ca="1">MIN(((1-AY225)*AX225*(Kcmax-H225)),AV225*Kcmax)</f>
        <v>0</v>
      </c>
      <c r="BB225" s="70">
        <f ca="1" t="shared" si="39"/>
        <v>0</v>
      </c>
      <c r="BC225" s="70">
        <f ca="1">MIN((R225-AA225)/(R225*(1-(p+0.04*(5-I224)))),1)</f>
        <v>1</v>
      </c>
      <c r="BD225" s="10">
        <f ca="1" t="shared" si="40"/>
        <v>2.19548873050773</v>
      </c>
      <c r="BE225" s="70">
        <f ca="1">MIN(IF((1-AA225/R225)&gt;0,(1-Y225/TEW)/(1-AA225/R225)*(Ze/P225)^0.6,0),1)*BC225*H225*B225</f>
        <v>1.04506870201779</v>
      </c>
      <c r="BF225" s="70">
        <f ca="1">MIN(IF((1-AA225/R225)&gt;0,(1-Z225/TEW)/(1-AA225/R225)*(Ze/P225)^0.6,0),1)*BC225*H225*B225</f>
        <v>1.04506870201779</v>
      </c>
      <c r="BH225" s="10">
        <f ca="1" t="shared" si="41"/>
        <v>1.13482844426014</v>
      </c>
      <c r="BI225" s="10">
        <f ca="1">IF(F225&lt;&gt;"",(Moy_Etobs-F225)^2,"")</f>
        <v>2.7287717182354</v>
      </c>
    </row>
    <row r="226" spans="1:61">
      <c r="A226" s="38">
        <v>39219</v>
      </c>
      <c r="B226" s="10">
        <v>1.43</v>
      </c>
      <c r="C226" s="39">
        <v>0.594</v>
      </c>
      <c r="D226">
        <v>0.835</v>
      </c>
      <c r="E226" s="39">
        <v>0</v>
      </c>
      <c r="F226" s="10">
        <v>2.3839776</v>
      </c>
      <c r="G226" s="10">
        <f ca="1">MIN(MAX(IF(AND(Durpla&gt;ROW()-MATCH(NDVImax,INDEX(D:D,Lig_min,1):INDEX(D:D,Lig_max,1),0)-Lig_min+1,ROW()-MATCH(NDVImax,INDEX(D:D,Lig_min,1):INDEX(D:D,Lig_max,1),0)-Lig_min+1&gt;0,D226*a_fc+b_fc&gt;fc_fin),NDVImax*a_fc+b_fc,D226*a_fc+b_fc),0),1)</f>
        <v>1</v>
      </c>
      <c r="H226" s="55">
        <f>MIN(MAX(D226*a_kcb+b_kcb,0),Kcmax)</f>
        <v>1.02959565435126</v>
      </c>
      <c r="I226" s="70">
        <f ca="1" t="shared" si="33"/>
        <v>1.4723217857223</v>
      </c>
      <c r="O226" s="55"/>
      <c r="P226" s="35">
        <f ca="1">IF(ROW()-MATCH(NDVImax,INDEX(D:D,Lig_min,1):INDEX(D:D,Lig_max,1),0)-Lig_min+1&gt;0,MAX(MIN(Zr_min+MAX(INDEX(G:G,Lig_min,1):INDEX(G:G,Lig_max,1))/MAX(MAX(INDEX(G:G,Lig_min,1):INDEX(G:G,Lig_max,1)),Max_fc_pour_Zrmax)*(Zr_max-Zr_min),Zr_max),Ze+0.001),MAX(MIN(Zr_min+G226/MAX(MAX(INDEX(G:G,Lig_min,1):INDEX(G:G,Lig_max,1)),Max_fc_pour_Zrmax)*(Zr_max-Zr_min),Zr_max),Ze+0.001))</f>
        <v>595.55606968994</v>
      </c>
      <c r="Q226" s="35">
        <f ca="1">IF(Z_sol&gt;0,Z_sol-P226,0.1)</f>
        <v>18.318481374494</v>
      </c>
      <c r="R226" s="35">
        <f ca="1">(Wfc-Wwp)*P226</f>
        <v>77.4222890596922</v>
      </c>
      <c r="S226" s="35">
        <f ca="1">(Wfc-Wwp)*Q226</f>
        <v>2.38140257868422</v>
      </c>
      <c r="T226" s="99">
        <f ca="1" t="shared" si="42"/>
        <v>2.52084380669297</v>
      </c>
      <c r="U226" s="99">
        <f ca="1" t="shared" si="43"/>
        <v>2.52084380669297</v>
      </c>
      <c r="V226" s="99">
        <f ca="1">IF(P226&gt;P225,IF(Q226&gt;1,MAX(AI225+(Wfc-Wwp)*(P226-P225)*AJ225/S225,0),AI225/P225*P226),MAX(AI225+(Wfc-Wwp)*(P226-P225)*AI225/R225,0))</f>
        <v>18.7129127307456</v>
      </c>
      <c r="W226" s="99">
        <f ca="1">IF(S226&gt;1,IF(P226&gt;P225,MAX(AJ225-(Wfc-Wwp)*(P226-P225)*AJ225/S225,0),MAX(AJ225-(Wfc-Wwp)*(P226-P225)*AI225/R225,0)),0)</f>
        <v>5.76030647823305e-7</v>
      </c>
      <c r="X226" s="99">
        <f ca="1">IF(AND(OR(AND(dec_vide_TAW&lt;0,V226&gt;R226*(p+0.04*(5-I225))),AND(dec_vide_TAW&gt;0,V226&gt;R226*dec_vide_TAW)),H226&gt;MAX(INDEX(H:H,Lig_min,1):INDEX(H:H,ROW(X226),1))*Kcbmax_stop_irrig*IF(ROW(X226)-lig_kcbmax&gt;0,1,0),MIN(INDEX(H:H,ROW(X226),1):INDEX(H:H,lig_kcbmax,1))&gt;Kcbmin_start_irrig),MIN(MAX(V226-E226*Irri_man-C226,0),Lame_max),0)</f>
        <v>0</v>
      </c>
      <c r="Y226" s="99">
        <f ca="1">MIN(MAX(T226-C226-IF(fw&gt;0,X226/fw*Irri_auto+E226/fw*Irri_man,0),0),TEW)</f>
        <v>1.92684380669297</v>
      </c>
      <c r="Z226" s="99">
        <f ca="1">MIN(MAX(U226-C226,0),TEW)</f>
        <v>1.92684380669297</v>
      </c>
      <c r="AA226" s="99">
        <f ca="1">MIN(MAX(V226-C226-(X226*Irri_auto+E226*Irri_man),0),R226)</f>
        <v>18.1189127307456</v>
      </c>
      <c r="AB226" s="99">
        <f ca="1">MIN(MAX(W226+MIN(V226-C226-(X226*Irri_auto+E226*Irri_man),0),0),S226)</f>
        <v>5.76030647823305e-7</v>
      </c>
      <c r="AC226" s="99">
        <f ca="1">-MIN(W226+MIN(V226-C226-(X226*Irri_auto+E226*Irri_man),0),0)</f>
        <v>0</v>
      </c>
      <c r="AD226" s="39">
        <f ca="1">IF(((R226-AA226)/P226-((Wfc-Wwp)*Ze-Y226)/Ze)/Wfc*DiffE&lt;0,MAX(((R226-AA226)/P226-((Wfc-Wwp)*Ze-Y226)/Ze)/Wfc*DiffE,(R226*Ze-((Wfc-Wwp)*Ze-Y226-AA226)*P226)/(P226+Ze)-AA226),MIN(((R226-AA226)/P226-((Wfc-Wwp)*Ze-Y226)/Ze)/Wfc*DiffE,(R226*Ze-((Wfc-Wwp)*Ze-Y226-AA226)*P226)/(P226+Ze)-AA226))</f>
        <v>-3.75219269448279e-8</v>
      </c>
      <c r="AE226" s="39">
        <f ca="1">IF(((R226-AA226)/P226-((Wfc-Wwp)*Ze-Z226)/Ze)/Wfc*DiffE&lt;0,MAX(((R226-AA226)/P226-((Wfc-Wwp)*Ze-Z226)/Ze)/Wfc*DiffE,(R226*Ze-((Wfc-Wwp)*Ze-Z226-AA226)*P226)/(P226+Ze)-AA226),MIN(((R226-AA226)/P226-((Wfc-Wwp)*Ze-Z226)/Ze)/Wfc*DiffE,(R226*Ze-((Wfc-Wwp)*Ze-Z226-AA226)*P226)/(P226+Ze)-AA226))</f>
        <v>-3.75219269448279e-8</v>
      </c>
      <c r="AF226" s="39">
        <f ca="1">IF(((S226-AB226)/Q226-(R226-AA226)/P226)/Wfc*DiffR&lt;0,MAX(((S226-AB226)/Q226-(R226-AA226)/P226)/Wfc*DiffR,(S226*P226-(R226-AA226-AB226)*Q226)/(P226+Q226)-AB226),MIN(((S226-AB226)/Q226-(R226-AA226)/P226)/Wfc*DiffR,(S226*P226-(R226-AA226-AB226)*Q226)/(P226+Q226)-AB226))</f>
        <v>7.60587244653684e-8</v>
      </c>
      <c r="AG226" s="99">
        <f ca="1">MIN(MAX(Y226+IF(AU226&gt;0,B226*AZ226/AU226,0)+BE226-AD226,0),TEW)</f>
        <v>2.63634773561582</v>
      </c>
      <c r="AH226" s="99">
        <f ca="1">MIN(MAX(Z226+IF(AV226&gt;0,B226*BA226/AV226,0)+BF226-AE226,0),TEW)</f>
        <v>2.63634773561582</v>
      </c>
      <c r="AI226" s="99">
        <f ca="1" t="shared" si="34"/>
        <v>19.5912344404092</v>
      </c>
      <c r="AJ226" s="99">
        <f ca="1" t="shared" si="35"/>
        <v>6.52089372288674e-7</v>
      </c>
      <c r="AK226" s="70">
        <f ca="1">IF((AU226+AV226)&gt;0,(TEW-(AG226*AU226+AH226*AV226)/(AU226+AV226))/TEW,(TEW-(AG226+AH226)/2)/TEW)</f>
        <v>0.920412143830466</v>
      </c>
      <c r="AL226" s="70">
        <f ca="1" t="shared" si="36"/>
        <v>0.746956145596464</v>
      </c>
      <c r="AM226" s="70">
        <f ca="1" t="shared" si="37"/>
        <v>0.999999726174239</v>
      </c>
      <c r="AN226" s="70">
        <f ca="1">Wwp+(Wfc-Wwp)*IF((AU226+AV226)&gt;0,(TEW-(AG226*AU226+AH226*AV226)/(AU226+AV226))/TEW,(TEW-(AG226+AH226)/2)/TEW)</f>
        <v>0.389653578697961</v>
      </c>
      <c r="AO226" s="70">
        <f ca="1">Wwp+(Wfc-Wwp)*(R226-AI226)/R226</f>
        <v>0.36710429892754</v>
      </c>
      <c r="AP226" s="70">
        <f ca="1">Wwp+(Wfc-Wwp)*(S226-AJ226)/S226</f>
        <v>0.399999964402651</v>
      </c>
      <c r="AQ226" s="70"/>
      <c r="AR226" s="70"/>
      <c r="AS226" s="70"/>
      <c r="AT226" s="70"/>
      <c r="AU226" s="70">
        <f ca="1">MIN((1-G226),fw)</f>
        <v>0</v>
      </c>
      <c r="AV226" s="70">
        <f ca="1" t="shared" si="38"/>
        <v>0</v>
      </c>
      <c r="AW226" s="70">
        <f ca="1">MIN((TEW-Y226)/(TEW-REW),1)</f>
        <v>0.119874570995493</v>
      </c>
      <c r="AX226" s="70">
        <f ca="1">MIN((TEW-Z226)/(TEW-REW),1)</f>
        <v>0.119874570995493</v>
      </c>
      <c r="AY226" s="70">
        <f ca="1">IF((AU226*(TEW-Y226))&gt;0,1/(1+((AV226*(TEW-Z226))/(AU226*(TEW-Y226)))),0)</f>
        <v>0</v>
      </c>
      <c r="AZ226" s="70">
        <f ca="1">MIN((AY226*AW226*(Kcmax-H226)),AU226*Kcmax)</f>
        <v>0</v>
      </c>
      <c r="BA226" s="70">
        <f ca="1">MIN(((1-AY226)*AX226*(Kcmax-H226)),AV226*Kcmax)</f>
        <v>0</v>
      </c>
      <c r="BB226" s="70">
        <f ca="1" t="shared" si="39"/>
        <v>0</v>
      </c>
      <c r="BC226" s="70">
        <f ca="1">MIN((R226-AA226)/(R226*(1-(p+0.04*(5-I225)))),1)</f>
        <v>1</v>
      </c>
      <c r="BD226" s="10">
        <f ca="1" t="shared" si="40"/>
        <v>1.4723217857223</v>
      </c>
      <c r="BE226" s="70">
        <f ca="1">MIN(IF((1-AA226/R226)&gt;0,(1-Y226/TEW)/(1-AA226/R226)*(Ze/P226)^0.6,0),1)*BC226*H226*B226</f>
        <v>0.709503891400924</v>
      </c>
      <c r="BF226" s="70">
        <f ca="1">MIN(IF((1-AA226/R226)&gt;0,(1-Z226/TEW)/(1-AA226/R226)*(Ze/P226)^0.6,0),1)*BC226*H226*B226</f>
        <v>0.709503891400924</v>
      </c>
      <c r="BH226" s="10">
        <f ca="1" t="shared" si="41"/>
        <v>0.831116323706342</v>
      </c>
      <c r="BI226" s="10">
        <f ca="1">IF(F226&lt;&gt;"",(Moy_Etobs-F226)^2,"")</f>
        <v>0.600787803496509</v>
      </c>
    </row>
    <row r="227" spans="1:61">
      <c r="A227" s="38">
        <v>39220</v>
      </c>
      <c r="B227" s="10">
        <v>2.516</v>
      </c>
      <c r="C227" s="39">
        <v>0</v>
      </c>
      <c r="D227">
        <v>0.832</v>
      </c>
      <c r="E227" s="39">
        <v>0</v>
      </c>
      <c r="F227" s="10">
        <v>2.2987116</v>
      </c>
      <c r="G227" s="10">
        <f ca="1">MIN(MAX(IF(AND(Durpla&gt;ROW()-MATCH(NDVImax,INDEX(D:D,Lig_min,1):INDEX(D:D,Lig_max,1),0)-Lig_min+1,ROW()-MATCH(NDVImax,INDEX(D:D,Lig_min,1):INDEX(D:D,Lig_max,1),0)-Lig_min+1&gt;0,D227*a_fc+b_fc&gt;fc_fin),NDVImax*a_fc+b_fc,D227*a_fc+b_fc),0),1)</f>
        <v>1</v>
      </c>
      <c r="H227" s="55">
        <f>MIN(MAX(D227*a_kcb+b_kcb,0),Kcmax)</f>
        <v>1.025086476303</v>
      </c>
      <c r="I227" s="70">
        <f ca="1" t="shared" si="33"/>
        <v>2.57911757437836</v>
      </c>
      <c r="O227" s="55"/>
      <c r="P227" s="35">
        <f ca="1">IF(ROW()-MATCH(NDVImax,INDEX(D:D,Lig_min,1):INDEX(D:D,Lig_max,1),0)-Lig_min+1&gt;0,MAX(MIN(Zr_min+MAX(INDEX(G:G,Lig_min,1):INDEX(G:G,Lig_max,1))/MAX(MAX(INDEX(G:G,Lig_min,1):INDEX(G:G,Lig_max,1)),Max_fc_pour_Zrmax)*(Zr_max-Zr_min),Zr_max),Ze+0.001),MAX(MIN(Zr_min+G227/MAX(MAX(INDEX(G:G,Lig_min,1):INDEX(G:G,Lig_max,1)),Max_fc_pour_Zrmax)*(Zr_max-Zr_min),Zr_max),Ze+0.001))</f>
        <v>595.55606968994</v>
      </c>
      <c r="Q227" s="35">
        <f ca="1">IF(Z_sol&gt;0,Z_sol-P227,0.1)</f>
        <v>18.318481374494</v>
      </c>
      <c r="R227" s="35">
        <f ca="1">(Wfc-Wwp)*P227</f>
        <v>77.4222890596922</v>
      </c>
      <c r="S227" s="35">
        <f ca="1">(Wfc-Wwp)*Q227</f>
        <v>2.38140257868422</v>
      </c>
      <c r="T227" s="99">
        <f ca="1" t="shared" si="42"/>
        <v>2.63634773561582</v>
      </c>
      <c r="U227" s="99">
        <f ca="1" t="shared" si="43"/>
        <v>2.63634773561582</v>
      </c>
      <c r="V227" s="99">
        <f ca="1">IF(P227&gt;P226,IF(Q227&gt;1,MAX(AI226+(Wfc-Wwp)*(P227-P226)*AJ226/S226,0),AI226/P226*P227),MAX(AI226+(Wfc-Wwp)*(P227-P226)*AI226/R226,0))</f>
        <v>19.5912344404092</v>
      </c>
      <c r="W227" s="99">
        <f ca="1">IF(S227&gt;1,IF(P227&gt;P226,MAX(AJ226-(Wfc-Wwp)*(P227-P226)*AJ226/S226,0),MAX(AJ226-(Wfc-Wwp)*(P227-P226)*AI226/R226,0)),0)</f>
        <v>6.52089372288674e-7</v>
      </c>
      <c r="X227" s="99">
        <f ca="1">IF(AND(OR(AND(dec_vide_TAW&lt;0,V227&gt;R227*(p+0.04*(5-I226))),AND(dec_vide_TAW&gt;0,V227&gt;R227*dec_vide_TAW)),H227&gt;MAX(INDEX(H:H,Lig_min,1):INDEX(H:H,ROW(X227),1))*Kcbmax_stop_irrig*IF(ROW(X227)-lig_kcbmax&gt;0,1,0),MIN(INDEX(H:H,ROW(X227),1):INDEX(H:H,lig_kcbmax,1))&gt;Kcbmin_start_irrig),MIN(MAX(V227-E227*Irri_man-C227,0),Lame_max),0)</f>
        <v>0</v>
      </c>
      <c r="Y227" s="99">
        <f ca="1">MIN(MAX(T227-C227-IF(fw&gt;0,X227/fw*Irri_auto+E227/fw*Irri_man,0),0),TEW)</f>
        <v>2.63634773561582</v>
      </c>
      <c r="Z227" s="99">
        <f ca="1">MIN(MAX(U227-C227,0),TEW)</f>
        <v>2.63634773561582</v>
      </c>
      <c r="AA227" s="99">
        <f ca="1">MIN(MAX(V227-C227-(X227*Irri_auto+E227*Irri_man),0),R227)</f>
        <v>19.5912344404092</v>
      </c>
      <c r="AB227" s="99">
        <f ca="1">MIN(MAX(W227+MIN(V227-C227-(X227*Irri_auto+E227*Irri_man),0),0),S227)</f>
        <v>6.52089372288674e-7</v>
      </c>
      <c r="AC227" s="99">
        <f ca="1">-MIN(W227+MIN(V227-C227-(X227*Irri_auto+E227*Irri_man),0),0)</f>
        <v>0</v>
      </c>
      <c r="AD227" s="39">
        <f ca="1">IF(((R227-AA227)/P227-((Wfc-Wwp)*Ze-Y227)/Ze)/Wfc*DiffE&lt;0,MAX(((R227-AA227)/P227-((Wfc-Wwp)*Ze-Y227)/Ze)/Wfc*DiffE,(R227*Ze-((Wfc-Wwp)*Ze-Y227-AA227)*P227)/(P227+Ze)-AA227),MIN(((R227-AA227)/P227-((Wfc-Wwp)*Ze-Y227)/Ze)/Wfc*DiffE,(R227*Ze-((Wfc-Wwp)*Ze-Y227-AA227)*P227)/(P227+Ze)-AA227))</f>
        <v>-2.95122979688327e-8</v>
      </c>
      <c r="AE227" s="39">
        <f ca="1">IF(((R227-AA227)/P227-((Wfc-Wwp)*Ze-Z227)/Ze)/Wfc*DiffE&lt;0,MAX(((R227-AA227)/P227-((Wfc-Wwp)*Ze-Z227)/Ze)/Wfc*DiffE,(R227*Ze-((Wfc-Wwp)*Ze-Z227-AA227)*P227)/(P227+Ze)-AA227),MIN(((R227-AA227)/P227-((Wfc-Wwp)*Ze-Z227)/Ze)/Wfc*DiffE,(R227*Ze-((Wfc-Wwp)*Ze-Z227-AA227)*P227)/(P227+Ze)-AA227))</f>
        <v>-2.95122979688327e-8</v>
      </c>
      <c r="AF227" s="39">
        <f ca="1">IF(((S227-AB227)/Q227-(R227-AA227)/P227)/Wfc*DiffR&lt;0,MAX(((S227-AB227)/Q227-(R227-AA227)/P227)/Wfc*DiffR,(S227*P227-(R227-AA227-AB227)*Q227)/(P227+Q227)-AB227),MIN(((S227-AB227)/Q227-(R227-AA227)/P227)/Wfc*DiffR,(S227*P227-(R227-AA227-AB227)*Q227)/(P227+Q227)-AB227))</f>
        <v>8.22391636877769e-8</v>
      </c>
      <c r="AG227" s="99">
        <f ca="1">MIN(MAX(Y227+IF(AU227&gt;0,B227*AZ227/AU227,0)+BE227-AD227,0),TEW)</f>
        <v>3.88186800934978</v>
      </c>
      <c r="AH227" s="99">
        <f ca="1">MIN(MAX(Z227+IF(AV227&gt;0,B227*BA227/AV227,0)+BF227-AE227,0),TEW)</f>
        <v>3.88186800934978</v>
      </c>
      <c r="AI227" s="99">
        <f ca="1" t="shared" si="34"/>
        <v>22.1703519325484</v>
      </c>
      <c r="AJ227" s="99">
        <f ca="1" t="shared" si="35"/>
        <v>7.3432853597645e-7</v>
      </c>
      <c r="AK227" s="70">
        <f ca="1">IF((AU227+AV227)&gt;0,(TEW-(AG227*AU227+AH227*AV227)/(AU227+AV227))/TEW,(TEW-(AG227+AH227)/2)/TEW)</f>
        <v>0.882811531793214</v>
      </c>
      <c r="AL227" s="70">
        <f ca="1" t="shared" si="36"/>
        <v>0.713643807205763</v>
      </c>
      <c r="AM227" s="70">
        <f ca="1" t="shared" si="37"/>
        <v>0.999999691640321</v>
      </c>
      <c r="AN227" s="70">
        <f ca="1">Wwp+(Wfc-Wwp)*IF((AU227+AV227)&gt;0,(TEW-(AG227*AU227+AH227*AV227)/(AU227+AV227))/TEW,(TEW-(AG227+AH227)/2)/TEW)</f>
        <v>0.384765499133118</v>
      </c>
      <c r="AO227" s="70">
        <f ca="1">Wwp+(Wfc-Wwp)*(R227-AI227)/R227</f>
        <v>0.362773694936749</v>
      </c>
      <c r="AP227" s="70">
        <f ca="1">Wwp+(Wfc-Wwp)*(S227-AJ227)/S227</f>
        <v>0.399999959913242</v>
      </c>
      <c r="AQ227" s="70"/>
      <c r="AR227" s="70"/>
      <c r="AS227" s="70"/>
      <c r="AT227" s="70"/>
      <c r="AU227" s="70">
        <f ca="1">MIN((1-G227),fw)</f>
        <v>0</v>
      </c>
      <c r="AV227" s="70">
        <f ca="1" t="shared" si="38"/>
        <v>0</v>
      </c>
      <c r="AW227" s="70">
        <f ca="1">MIN((TEW-Y227)/(TEW-REW),1)</f>
        <v>0.117148400943255</v>
      </c>
      <c r="AX227" s="70">
        <f ca="1">MIN((TEW-Z227)/(TEW-REW),1)</f>
        <v>0.117148400943255</v>
      </c>
      <c r="AY227" s="70">
        <f ca="1">IF((AU227*(TEW-Y227))&gt;0,1/(1+((AV227*(TEW-Z227))/(AU227*(TEW-Y227)))),0)</f>
        <v>0</v>
      </c>
      <c r="AZ227" s="70">
        <f ca="1">MIN((AY227*AW227*(Kcmax-H227)),AU227*Kcmax)</f>
        <v>0</v>
      </c>
      <c r="BA227" s="70">
        <f ca="1">MIN(((1-AY227)*AX227*(Kcmax-H227)),AV227*Kcmax)</f>
        <v>0</v>
      </c>
      <c r="BB227" s="70">
        <f ca="1" t="shared" si="39"/>
        <v>0</v>
      </c>
      <c r="BC227" s="70">
        <f ca="1">MIN((R227-AA227)/(R227*(1-(p+0.04*(5-I226)))),1)</f>
        <v>1</v>
      </c>
      <c r="BD227" s="10">
        <f ca="1" t="shared" si="40"/>
        <v>2.57911757437836</v>
      </c>
      <c r="BE227" s="70">
        <f ca="1">MIN(IF((1-AA227/R227)&gt;0,(1-Y227/TEW)/(1-AA227/R227)*(Ze/P227)^0.6,0),1)*BC227*H227*B227</f>
        <v>1.24552024422166</v>
      </c>
      <c r="BF227" s="70">
        <f ca="1">MIN(IF((1-AA227/R227)&gt;0,(1-Z227/TEW)/(1-AA227/R227)*(Ze/P227)^0.6,0),1)*BC227*H227*B227</f>
        <v>1.24552024422166</v>
      </c>
      <c r="BH227" s="10">
        <f ca="1" t="shared" si="41"/>
        <v>0.0786275104670754</v>
      </c>
      <c r="BI227" s="10">
        <f ca="1">IF(F227&lt;&gt;"",(Moy_Etobs-F227)^2,"")</f>
        <v>0.475877883720398</v>
      </c>
    </row>
    <row r="228" spans="1:61">
      <c r="A228" s="38">
        <v>39221</v>
      </c>
      <c r="B228" s="10">
        <v>1.543</v>
      </c>
      <c r="C228" s="39">
        <v>9.108</v>
      </c>
      <c r="D228">
        <v>0.828</v>
      </c>
      <c r="E228" s="39">
        <v>0</v>
      </c>
      <c r="F228" s="10">
        <v>2.1853296</v>
      </c>
      <c r="G228" s="10">
        <f ca="1">MIN(MAX(IF(AND(Durpla&gt;ROW()-MATCH(NDVImax,INDEX(D:D,Lig_min,1):INDEX(D:D,Lig_max,1),0)-Lig_min+1,ROW()-MATCH(NDVImax,INDEX(D:D,Lig_min,1):INDEX(D:D,Lig_max,1),0)-Lig_min+1&gt;0,D228*a_fc+b_fc&gt;fc_fin),NDVImax*a_fc+b_fc,D228*a_fc+b_fc),0),1)</f>
        <v>1</v>
      </c>
      <c r="H228" s="55">
        <f>MIN(MAX(D228*a_kcb+b_kcb,0),Kcmax)</f>
        <v>1.01907423890533</v>
      </c>
      <c r="I228" s="70">
        <f ca="1" t="shared" si="33"/>
        <v>1.57243155063093</v>
      </c>
      <c r="O228" s="55"/>
      <c r="P228" s="35">
        <f ca="1">IF(ROW()-MATCH(NDVImax,INDEX(D:D,Lig_min,1):INDEX(D:D,Lig_max,1),0)-Lig_min+1&gt;0,MAX(MIN(Zr_min+MAX(INDEX(G:G,Lig_min,1):INDEX(G:G,Lig_max,1))/MAX(MAX(INDEX(G:G,Lig_min,1):INDEX(G:G,Lig_max,1)),Max_fc_pour_Zrmax)*(Zr_max-Zr_min),Zr_max),Ze+0.001),MAX(MIN(Zr_min+G228/MAX(MAX(INDEX(G:G,Lig_min,1):INDEX(G:G,Lig_max,1)),Max_fc_pour_Zrmax)*(Zr_max-Zr_min),Zr_max),Ze+0.001))</f>
        <v>595.55606968994</v>
      </c>
      <c r="Q228" s="35">
        <f ca="1">IF(Z_sol&gt;0,Z_sol-P228,0.1)</f>
        <v>18.318481374494</v>
      </c>
      <c r="R228" s="35">
        <f ca="1">(Wfc-Wwp)*P228</f>
        <v>77.4222890596922</v>
      </c>
      <c r="S228" s="35">
        <f ca="1">(Wfc-Wwp)*Q228</f>
        <v>2.38140257868422</v>
      </c>
      <c r="T228" s="99">
        <f ca="1" t="shared" si="42"/>
        <v>3.88186800934978</v>
      </c>
      <c r="U228" s="99">
        <f ca="1" t="shared" si="43"/>
        <v>3.88186800934978</v>
      </c>
      <c r="V228" s="99">
        <f ca="1">IF(P228&gt;P227,IF(Q228&gt;1,MAX(AI227+(Wfc-Wwp)*(P228-P227)*AJ227/S227,0),AI227/P227*P228),MAX(AI227+(Wfc-Wwp)*(P228-P227)*AI227/R227,0))</f>
        <v>22.1703519325484</v>
      </c>
      <c r="W228" s="99">
        <f ca="1">IF(S228&gt;1,IF(P228&gt;P227,MAX(AJ227-(Wfc-Wwp)*(P228-P227)*AJ227/S227,0),MAX(AJ227-(Wfc-Wwp)*(P228-P227)*AI227/R227,0)),0)</f>
        <v>7.3432853597645e-7</v>
      </c>
      <c r="X228" s="99">
        <f ca="1">IF(AND(OR(AND(dec_vide_TAW&lt;0,V228&gt;R228*(p+0.04*(5-I227))),AND(dec_vide_TAW&gt;0,V228&gt;R228*dec_vide_TAW)),H228&gt;MAX(INDEX(H:H,Lig_min,1):INDEX(H:H,ROW(X228),1))*Kcbmax_stop_irrig*IF(ROW(X228)-lig_kcbmax&gt;0,1,0),MIN(INDEX(H:H,ROW(X228),1):INDEX(H:H,lig_kcbmax,1))&gt;Kcbmin_start_irrig),MIN(MAX(V228-E228*Irri_man-C228,0),Lame_max),0)</f>
        <v>0</v>
      </c>
      <c r="Y228" s="99">
        <f ca="1">MIN(MAX(T228-C228-IF(fw&gt;0,X228/fw*Irri_auto+E228/fw*Irri_man,0),0),TEW)</f>
        <v>0</v>
      </c>
      <c r="Z228" s="99">
        <f ca="1">MIN(MAX(U228-C228,0),TEW)</f>
        <v>0</v>
      </c>
      <c r="AA228" s="99">
        <f ca="1">MIN(MAX(V228-C228-(X228*Irri_auto+E228*Irri_man),0),R228)</f>
        <v>13.0623519325484</v>
      </c>
      <c r="AB228" s="99">
        <f ca="1">MIN(MAX(W228+MIN(V228-C228-(X228*Irri_auto+E228*Irri_man),0),0),S228)</f>
        <v>7.3432853597645e-7</v>
      </c>
      <c r="AC228" s="99">
        <f ca="1">-MIN(W228+MIN(V228-C228-(X228*Irri_auto+E228*Irri_man),0),0)</f>
        <v>0</v>
      </c>
      <c r="AD228" s="39">
        <f ca="1">IF(((R228-AA228)/P228-((Wfc-Wwp)*Ze-Y228)/Ze)/Wfc*DiffE&lt;0,MAX(((R228-AA228)/P228-((Wfc-Wwp)*Ze-Y228)/Ze)/Wfc*DiffE,(R228*Ze-((Wfc-Wwp)*Ze-Y228-AA228)*P228)/(P228+Ze)-AA228),MIN(((R228-AA228)/P228-((Wfc-Wwp)*Ze-Y228)/Ze)/Wfc*DiffE,(R228*Ze-((Wfc-Wwp)*Ze-Y228-AA228)*P228)/(P228+Ze)-AA228))</f>
        <v>-5.48325867090439e-8</v>
      </c>
      <c r="AE228" s="39">
        <f ca="1">IF(((R228-AA228)/P228-((Wfc-Wwp)*Ze-Z228)/Ze)/Wfc*DiffE&lt;0,MAX(((R228-AA228)/P228-((Wfc-Wwp)*Ze-Z228)/Ze)/Wfc*DiffE,(R228*Ze-((Wfc-Wwp)*Ze-Z228-AA228)*P228)/(P228+Ze)-AA228),MIN(((R228-AA228)/P228-((Wfc-Wwp)*Ze-Z228)/Ze)/Wfc*DiffE,(R228*Ze-((Wfc-Wwp)*Ze-Z228-AA228)*P228)/(P228+Ze)-AA228))</f>
        <v>-5.48325867090439e-8</v>
      </c>
      <c r="AF228" s="39">
        <f ca="1">IF(((S228-AB228)/Q228-(R228-AA228)/P228)/Wfc*DiffR&lt;0,MAX(((S228-AB228)/Q228-(R228-AA228)/P228)/Wfc*DiffR,(S228*P228-(R228-AA228-AB228)*Q228)/(P228+Q228)-AB228),MIN(((S228-AB228)/Q228-(R228-AA228)/P228)/Wfc*DiffR,(S228*P228-(R228-AA228-AB228)*Q228)/(P228+Q228)-AB228))</f>
        <v>5.4832486492148e-8</v>
      </c>
      <c r="AG228" s="99">
        <f ca="1">MIN(MAX(Y228+IF(AU228&gt;0,B228*AZ228/AU228,0)+BE228-AD228,0),TEW)</f>
        <v>0.741335149979442</v>
      </c>
      <c r="AH228" s="99">
        <f ca="1">MIN(MAX(Z228+IF(AV228&gt;0,B228*BA228/AV228,0)+BF228-AE228,0),TEW)</f>
        <v>0.741335149979442</v>
      </c>
      <c r="AI228" s="99">
        <f ca="1" t="shared" si="34"/>
        <v>14.6347834283468</v>
      </c>
      <c r="AJ228" s="99">
        <f ca="1" t="shared" si="35"/>
        <v>7.89161022468598e-7</v>
      </c>
      <c r="AK228" s="70">
        <f ca="1">IF((AU228+AV228)&gt;0,(TEW-(AG228*AU228+AH228*AV228)/(AU228+AV228))/TEW,(TEW-(AG228+AH228)/2)/TEW)</f>
        <v>0.977620070944017</v>
      </c>
      <c r="AL228" s="70">
        <f ca="1" t="shared" si="36"/>
        <v>0.810974544848919</v>
      </c>
      <c r="AM228" s="70">
        <f ca="1" t="shared" si="37"/>
        <v>0.99999966861503</v>
      </c>
      <c r="AN228" s="70">
        <f ca="1">Wwp+(Wfc-Wwp)*IF((AU228+AV228)&gt;0,(TEW-(AG228*AU228+AH228*AV228)/(AU228+AV228))/TEW,(TEW-(AG228+AH228)/2)/TEW)</f>
        <v>0.397090609222722</v>
      </c>
      <c r="AO228" s="70">
        <f ca="1">Wwp+(Wfc-Wwp)*(R228-AI228)/R228</f>
        <v>0.37542669083036</v>
      </c>
      <c r="AP228" s="70">
        <f ca="1">Wwp+(Wfc-Wwp)*(S228-AJ228)/S228</f>
        <v>0.399999956919954</v>
      </c>
      <c r="AQ228" s="70"/>
      <c r="AR228" s="70"/>
      <c r="AS228" s="70"/>
      <c r="AT228" s="70"/>
      <c r="AU228" s="70">
        <f ca="1">MIN((1-G228),fw)</f>
        <v>0</v>
      </c>
      <c r="AV228" s="70">
        <f ca="1" t="shared" si="38"/>
        <v>0</v>
      </c>
      <c r="AW228" s="70">
        <f ca="1">MIN((TEW-Y228)/(TEW-REW),1)</f>
        <v>0.12727820001996</v>
      </c>
      <c r="AX228" s="70">
        <f ca="1">MIN((TEW-Z228)/(TEW-REW),1)</f>
        <v>0.12727820001996</v>
      </c>
      <c r="AY228" s="70">
        <f ca="1">IF((AU228*(TEW-Y228))&gt;0,1/(1+((AV228*(TEW-Z228))/(AU228*(TEW-Y228)))),0)</f>
        <v>0</v>
      </c>
      <c r="AZ228" s="70">
        <f ca="1">MIN((AY228*AW228*(Kcmax-H228)),AU228*Kcmax)</f>
        <v>0</v>
      </c>
      <c r="BA228" s="70">
        <f ca="1">MIN(((1-AY228)*AX228*(Kcmax-H228)),AV228*Kcmax)</f>
        <v>0</v>
      </c>
      <c r="BB228" s="70">
        <f ca="1" t="shared" si="39"/>
        <v>0</v>
      </c>
      <c r="BC228" s="70">
        <f ca="1">MIN((R228-AA228)/(R228*(1-(p+0.04*(5-I227)))),1)</f>
        <v>1</v>
      </c>
      <c r="BD228" s="10">
        <f ca="1" t="shared" si="40"/>
        <v>1.57243155063093</v>
      </c>
      <c r="BE228" s="70">
        <f ca="1">MIN(IF((1-AA228/R228)&gt;0,(1-Y228/TEW)/(1-AA228/R228)*(Ze/P228)^0.6,0),1)*BC228*H228*B228</f>
        <v>0.741335095146855</v>
      </c>
      <c r="BF228" s="70">
        <f ca="1">MIN(IF((1-AA228/R228)&gt;0,(1-Z228/TEW)/(1-AA228/R228)*(Ze/P228)^0.6,0),1)*BC228*H228*B228</f>
        <v>0.741335095146855</v>
      </c>
      <c r="BH228" s="10">
        <f ca="1" t="shared" si="41"/>
        <v>0.375644018920415</v>
      </c>
      <c r="BI228" s="10">
        <f ca="1">IF(F228&lt;&gt;"",(Moy_Etobs-F228)^2,"")</f>
        <v>0.332302704435686</v>
      </c>
    </row>
    <row r="229" spans="1:61">
      <c r="A229" s="38">
        <v>39222</v>
      </c>
      <c r="B229" s="10">
        <v>2.249</v>
      </c>
      <c r="C229" s="39">
        <v>0.198</v>
      </c>
      <c r="D229">
        <v>0.824</v>
      </c>
      <c r="E229" s="39">
        <v>0</v>
      </c>
      <c r="F229" s="10">
        <v>2.4272424</v>
      </c>
      <c r="G229" s="10">
        <f ca="1">MIN(MAX(IF(AND(Durpla&gt;ROW()-MATCH(NDVImax,INDEX(D:D,Lig_min,1):INDEX(D:D,Lig_max,1),0)-Lig_min+1,ROW()-MATCH(NDVImax,INDEX(D:D,Lig_min,1):INDEX(D:D,Lig_max,1),0)-Lig_min+1&gt;0,D229*a_fc+b_fc&gt;fc_fin),NDVImax*a_fc+b_fc,D229*a_fc+b_fc),0),1)</f>
        <v>1</v>
      </c>
      <c r="H229" s="55">
        <f>MIN(MAX(D229*a_kcb+b_kcb,0),Kcmax)</f>
        <v>1.01306200150766</v>
      </c>
      <c r="I229" s="70">
        <f ca="1" t="shared" si="33"/>
        <v>2.27837644139073</v>
      </c>
      <c r="O229" s="55"/>
      <c r="P229" s="35">
        <f ca="1">IF(ROW()-MATCH(NDVImax,INDEX(D:D,Lig_min,1):INDEX(D:D,Lig_max,1),0)-Lig_min+1&gt;0,MAX(MIN(Zr_min+MAX(INDEX(G:G,Lig_min,1):INDEX(G:G,Lig_max,1))/MAX(MAX(INDEX(G:G,Lig_min,1):INDEX(G:G,Lig_max,1)),Max_fc_pour_Zrmax)*(Zr_max-Zr_min),Zr_max),Ze+0.001),MAX(MIN(Zr_min+G229/MAX(MAX(INDEX(G:G,Lig_min,1):INDEX(G:G,Lig_max,1)),Max_fc_pour_Zrmax)*(Zr_max-Zr_min),Zr_max),Ze+0.001))</f>
        <v>595.55606968994</v>
      </c>
      <c r="Q229" s="35">
        <f ca="1">IF(Z_sol&gt;0,Z_sol-P229,0.1)</f>
        <v>18.318481374494</v>
      </c>
      <c r="R229" s="35">
        <f ca="1">(Wfc-Wwp)*P229</f>
        <v>77.4222890596922</v>
      </c>
      <c r="S229" s="35">
        <f ca="1">(Wfc-Wwp)*Q229</f>
        <v>2.38140257868422</v>
      </c>
      <c r="T229" s="99">
        <f ca="1" t="shared" si="42"/>
        <v>0.741335149979442</v>
      </c>
      <c r="U229" s="99">
        <f ca="1" t="shared" si="43"/>
        <v>0.741335149979442</v>
      </c>
      <c r="V229" s="99">
        <f ca="1">IF(P229&gt;P228,IF(Q229&gt;1,MAX(AI228+(Wfc-Wwp)*(P229-P228)*AJ228/S228,0),AI228/P228*P229),MAX(AI228+(Wfc-Wwp)*(P229-P228)*AI228/R228,0))</f>
        <v>14.6347834283468</v>
      </c>
      <c r="W229" s="99">
        <f ca="1">IF(S229&gt;1,IF(P229&gt;P228,MAX(AJ228-(Wfc-Wwp)*(P229-P228)*AJ228/S228,0),MAX(AJ228-(Wfc-Wwp)*(P229-P228)*AI228/R228,0)),0)</f>
        <v>7.89161022468598e-7</v>
      </c>
      <c r="X229" s="99">
        <f ca="1">IF(AND(OR(AND(dec_vide_TAW&lt;0,V229&gt;R229*(p+0.04*(5-I228))),AND(dec_vide_TAW&gt;0,V229&gt;R229*dec_vide_TAW)),H229&gt;MAX(INDEX(H:H,Lig_min,1):INDEX(H:H,ROW(X229),1))*Kcbmax_stop_irrig*IF(ROW(X229)-lig_kcbmax&gt;0,1,0),MIN(INDEX(H:H,ROW(X229),1):INDEX(H:H,lig_kcbmax,1))&gt;Kcbmin_start_irrig),MIN(MAX(V229-E229*Irri_man-C229,0),Lame_max),0)</f>
        <v>0</v>
      </c>
      <c r="Y229" s="99">
        <f ca="1">MIN(MAX(T229-C229-IF(fw&gt;0,X229/fw*Irri_auto+E229/fw*Irri_man,0),0),TEW)</f>
        <v>0.543335149979442</v>
      </c>
      <c r="Z229" s="99">
        <f ca="1">MIN(MAX(U229-C229,0),TEW)</f>
        <v>0.543335149979442</v>
      </c>
      <c r="AA229" s="99">
        <f ca="1">MIN(MAX(V229-C229-(X229*Irri_auto+E229*Irri_man),0),R229)</f>
        <v>14.4367834283468</v>
      </c>
      <c r="AB229" s="99">
        <f ca="1">MIN(MAX(W229+MIN(V229-C229-(X229*Irri_auto+E229*Irri_man),0),0),S229)</f>
        <v>7.89161022468598e-7</v>
      </c>
      <c r="AC229" s="99">
        <f ca="1">-MIN(W229+MIN(V229-C229-(X229*Irri_auto+E229*Irri_man),0),0)</f>
        <v>0</v>
      </c>
      <c r="AD229" s="39">
        <f ca="1">IF(((R229-AA229)/P229-((Wfc-Wwp)*Ze-Y229)/Ze)/Wfc*DiffE&lt;0,MAX(((R229-AA229)/P229-((Wfc-Wwp)*Ze-Y229)/Ze)/Wfc*DiffE,(R229*Ze-((Wfc-Wwp)*Ze-Y229-AA229)*P229)/(P229+Ze)-AA229),MIN(((R229-AA229)/P229-((Wfc-Wwp)*Ze-Y229)/Ze)/Wfc*DiffE,(R229*Ze-((Wfc-Wwp)*Ze-Y229-AA229)*P229)/(P229+Ze)-AA229))</f>
        <v>-4.97354139256193e-8</v>
      </c>
      <c r="AE229" s="39">
        <f ca="1">IF(((R229-AA229)/P229-((Wfc-Wwp)*Ze-Z229)/Ze)/Wfc*DiffE&lt;0,MAX(((R229-AA229)/P229-((Wfc-Wwp)*Ze-Z229)/Ze)/Wfc*DiffE,(R229*Ze-((Wfc-Wwp)*Ze-Z229-AA229)*P229)/(P229+Ze)-AA229),MIN(((R229-AA229)/P229-((Wfc-Wwp)*Ze-Z229)/Ze)/Wfc*DiffE,(R229*Ze-((Wfc-Wwp)*Ze-Z229-AA229)*P229)/(P229+Ze)-AA229))</f>
        <v>-4.97354139256193e-8</v>
      </c>
      <c r="AF229" s="39">
        <f ca="1">IF(((S229-AB229)/Q229-(R229-AA229)/P229)/Wfc*DiffR&lt;0,MAX(((S229-AB229)/Q229-(R229-AA229)/P229)/Wfc*DiffR,(S229*P229-(R229-AA229-AB229)*Q229)/(P229+Q229)-AB229),MIN(((S229-AB229)/Q229-(R229-AA229)/P229)/Wfc*DiffR,(S229*P229-(R229-AA229-AB229)*Q229)/(P229+Q229)-AB229))</f>
        <v>6.06020092250928e-8</v>
      </c>
      <c r="AG229" s="99">
        <f ca="1">MIN(MAX(Y229+IF(AU229&gt;0,B229*AZ229/AU229,0)+BE229-AD229,0),TEW)</f>
        <v>1.62292971239645</v>
      </c>
      <c r="AH229" s="99">
        <f ca="1">MIN(MAX(Z229+IF(AV229&gt;0,B229*BA229/AV229,0)+BF229-AE229,0),TEW)</f>
        <v>1.62292971239645</v>
      </c>
      <c r="AI229" s="99">
        <f ca="1" t="shared" si="34"/>
        <v>16.7151598091356</v>
      </c>
      <c r="AJ229" s="99">
        <f ca="1" t="shared" si="35"/>
        <v>8.49763031693691e-7</v>
      </c>
      <c r="AK229" s="70">
        <f ca="1">IF((AU229+AV229)&gt;0,(TEW-(AG229*AU229+AH229*AV229)/(AU229+AV229))/TEW,(TEW-(AG229+AH229)/2)/TEW)</f>
        <v>0.951005895474824</v>
      </c>
      <c r="AL229" s="70">
        <f ca="1" t="shared" si="36"/>
        <v>0.78410403499891</v>
      </c>
      <c r="AM229" s="70">
        <f ca="1" t="shared" si="37"/>
        <v>0.999999643166998</v>
      </c>
      <c r="AN229" s="70">
        <f ca="1">Wwp+(Wfc-Wwp)*IF((AU229+AV229)&gt;0,(TEW-(AG229*AU229+AH229*AV229)/(AU229+AV229))/TEW,(TEW-(AG229+AH229)/2)/TEW)</f>
        <v>0.393630766411727</v>
      </c>
      <c r="AO229" s="70">
        <f ca="1">Wwp+(Wfc-Wwp)*(R229-AI229)/R229</f>
        <v>0.371933524549858</v>
      </c>
      <c r="AP229" s="70">
        <f ca="1">Wwp+(Wfc-Wwp)*(S229-AJ229)/S229</f>
        <v>0.39999995361171</v>
      </c>
      <c r="AQ229" s="70"/>
      <c r="AR229" s="70"/>
      <c r="AS229" s="70"/>
      <c r="AT229" s="70"/>
      <c r="AU229" s="70">
        <f ca="1">MIN((1-G229),fw)</f>
        <v>0</v>
      </c>
      <c r="AV229" s="70">
        <f ca="1" t="shared" si="38"/>
        <v>0</v>
      </c>
      <c r="AW229" s="70">
        <f ca="1">MIN((TEW-Y229)/(TEW-REW),1)</f>
        <v>0.125190510362694</v>
      </c>
      <c r="AX229" s="70">
        <f ca="1">MIN((TEW-Z229)/(TEW-REW),1)</f>
        <v>0.125190510362694</v>
      </c>
      <c r="AY229" s="70">
        <f ca="1">IF((AU229*(TEW-Y229))&gt;0,1/(1+((AV229*(TEW-Z229))/(AU229*(TEW-Y229)))),0)</f>
        <v>0</v>
      </c>
      <c r="AZ229" s="70">
        <f ca="1">MIN((AY229*AW229*(Kcmax-H229)),AU229*Kcmax)</f>
        <v>0</v>
      </c>
      <c r="BA229" s="70">
        <f ca="1">MIN(((1-AY229)*AX229*(Kcmax-H229)),AV229*Kcmax)</f>
        <v>0</v>
      </c>
      <c r="BB229" s="70">
        <f ca="1" t="shared" si="39"/>
        <v>0</v>
      </c>
      <c r="BC229" s="70">
        <f ca="1">MIN((R229-AA229)/(R229*(1-(p+0.04*(5-I228)))),1)</f>
        <v>1</v>
      </c>
      <c r="BD229" s="10">
        <f ca="1" t="shared" si="40"/>
        <v>2.27837644139073</v>
      </c>
      <c r="BE229" s="70">
        <f ca="1">MIN(IF((1-AA229/R229)&gt;0,(1-Y229/TEW)/(1-AA229/R229)*(Ze/P229)^0.6,0),1)*BC229*H229*B229</f>
        <v>1.0795945126816</v>
      </c>
      <c r="BF229" s="70">
        <f ca="1">MIN(IF((1-AA229/R229)&gt;0,(1-Z229/TEW)/(1-AA229/R229)*(Ze/P229)^0.6,0),1)*BC229*H229*B229</f>
        <v>1.0795945126816</v>
      </c>
      <c r="BH229" s="10">
        <f ca="1" t="shared" si="41"/>
        <v>0.0221610736326577</v>
      </c>
      <c r="BI229" s="10">
        <f ca="1">IF(F229&lt;&gt;"",(Moy_Etobs-F229)^2,"")</f>
        <v>0.669729174394222</v>
      </c>
    </row>
    <row r="230" spans="1:61">
      <c r="A230" s="38">
        <v>39223</v>
      </c>
      <c r="B230" s="10">
        <v>3.391</v>
      </c>
      <c r="C230" s="39">
        <v>0</v>
      </c>
      <c r="D230">
        <v>0.821</v>
      </c>
      <c r="E230" s="39">
        <v>0</v>
      </c>
      <c r="F230" s="10">
        <v>3.5274888</v>
      </c>
      <c r="G230" s="10">
        <f ca="1">MIN(MAX(IF(AND(Durpla&gt;ROW()-MATCH(NDVImax,INDEX(D:D,Lig_min,1):INDEX(D:D,Lig_max,1),0)-Lig_min+1,ROW()-MATCH(NDVImax,INDEX(D:D,Lig_min,1):INDEX(D:D,Lig_max,1),0)-Lig_min+1&gt;0,D230*a_fc+b_fc&gt;fc_fin),NDVImax*a_fc+b_fc,D230*a_fc+b_fc),0),1)</f>
        <v>1</v>
      </c>
      <c r="H230" s="55">
        <f>MIN(MAX(D230*a_kcb+b_kcb,0),Kcmax)</f>
        <v>1.00855282345941</v>
      </c>
      <c r="I230" s="70">
        <f ca="1" t="shared" si="33"/>
        <v>3.42000262435085</v>
      </c>
      <c r="O230" s="55"/>
      <c r="P230" s="35">
        <f ca="1">IF(ROW()-MATCH(NDVImax,INDEX(D:D,Lig_min,1):INDEX(D:D,Lig_max,1),0)-Lig_min+1&gt;0,MAX(MIN(Zr_min+MAX(INDEX(G:G,Lig_min,1):INDEX(G:G,Lig_max,1))/MAX(MAX(INDEX(G:G,Lig_min,1):INDEX(G:G,Lig_max,1)),Max_fc_pour_Zrmax)*(Zr_max-Zr_min),Zr_max),Ze+0.001),MAX(MIN(Zr_min+G230/MAX(MAX(INDEX(G:G,Lig_min,1):INDEX(G:G,Lig_max,1)),Max_fc_pour_Zrmax)*(Zr_max-Zr_min),Zr_max),Ze+0.001))</f>
        <v>595.55606968994</v>
      </c>
      <c r="Q230" s="35">
        <f ca="1">IF(Z_sol&gt;0,Z_sol-P230,0.1)</f>
        <v>18.318481374494</v>
      </c>
      <c r="R230" s="35">
        <f ca="1">(Wfc-Wwp)*P230</f>
        <v>77.4222890596922</v>
      </c>
      <c r="S230" s="35">
        <f ca="1">(Wfc-Wwp)*Q230</f>
        <v>2.38140257868422</v>
      </c>
      <c r="T230" s="99">
        <f ca="1" t="shared" si="42"/>
        <v>1.62292971239645</v>
      </c>
      <c r="U230" s="99">
        <f ca="1" t="shared" si="43"/>
        <v>1.62292971239645</v>
      </c>
      <c r="V230" s="99">
        <f ca="1">IF(P230&gt;P229,IF(Q230&gt;1,MAX(AI229+(Wfc-Wwp)*(P230-P229)*AJ229/S229,0),AI229/P229*P230),MAX(AI229+(Wfc-Wwp)*(P230-P229)*AI229/R229,0))</f>
        <v>16.7151598091356</v>
      </c>
      <c r="W230" s="99">
        <f ca="1">IF(S230&gt;1,IF(P230&gt;P229,MAX(AJ229-(Wfc-Wwp)*(P230-P229)*AJ229/S229,0),MAX(AJ229-(Wfc-Wwp)*(P230-P229)*AI229/R229,0)),0)</f>
        <v>8.49763031693691e-7</v>
      </c>
      <c r="X230" s="99">
        <f ca="1">IF(AND(OR(AND(dec_vide_TAW&lt;0,V230&gt;R230*(p+0.04*(5-I229))),AND(dec_vide_TAW&gt;0,V230&gt;R230*dec_vide_TAW)),H230&gt;MAX(INDEX(H:H,Lig_min,1):INDEX(H:H,ROW(X230),1))*Kcbmax_stop_irrig*IF(ROW(X230)-lig_kcbmax&gt;0,1,0),MIN(INDEX(H:H,ROW(X230),1):INDEX(H:H,lig_kcbmax,1))&gt;Kcbmin_start_irrig),MIN(MAX(V230-E230*Irri_man-C230,0),Lame_max),0)</f>
        <v>0</v>
      </c>
      <c r="Y230" s="99">
        <f ca="1">MIN(MAX(T230-C230-IF(fw&gt;0,X230/fw*Irri_auto+E230/fw*Irri_man,0),0),TEW)</f>
        <v>1.62292971239645</v>
      </c>
      <c r="Z230" s="99">
        <f ca="1">MIN(MAX(U230-C230,0),TEW)</f>
        <v>1.62292971239645</v>
      </c>
      <c r="AA230" s="99">
        <f ca="1">MIN(MAX(V230-C230-(X230*Irri_auto+E230*Irri_man),0),R230)</f>
        <v>16.7151598091356</v>
      </c>
      <c r="AB230" s="99">
        <f ca="1">MIN(MAX(W230+MIN(V230-C230-(X230*Irri_auto+E230*Irri_man),0),0),S230)</f>
        <v>8.49763031693691e-7</v>
      </c>
      <c r="AC230" s="99">
        <f ca="1">-MIN(W230+MIN(V230-C230-(X230*Irri_auto+E230*Irri_man),0),0)</f>
        <v>0</v>
      </c>
      <c r="AD230" s="39">
        <f ca="1">IF(((R230-AA230)/P230-((Wfc-Wwp)*Ze-Y230)/Ze)/Wfc*DiffE&lt;0,MAX(((R230-AA230)/P230-((Wfc-Wwp)*Ze-Y230)/Ze)/Wfc*DiffE,(R230*Ze-((Wfc-Wwp)*Ze-Y230-AA230)*P230)/(P230+Ze)-AA230),MIN(((R230-AA230)/P230-((Wfc-Wwp)*Ze-Y230)/Ze)/Wfc*DiffE,(R230*Ze-((Wfc-Wwp)*Ze-Y230-AA230)*P230)/(P230+Ze)-AA230))</f>
        <v>-3.77075943774251e-8</v>
      </c>
      <c r="AE230" s="39">
        <f ca="1">IF(((R230-AA230)/P230-((Wfc-Wwp)*Ze-Z230)/Ze)/Wfc*DiffE&lt;0,MAX(((R230-AA230)/P230-((Wfc-Wwp)*Ze-Z230)/Ze)/Wfc*DiffE,(R230*Ze-((Wfc-Wwp)*Ze-Z230-AA230)*P230)/(P230+Ze)-AA230),MIN(((R230-AA230)/P230-((Wfc-Wwp)*Ze-Z230)/Ze)/Wfc*DiffE,(R230*Ze-((Wfc-Wwp)*Ze-Z230-AA230)*P230)/(P230+Ze)-AA230))</f>
        <v>-3.77075943774251e-8</v>
      </c>
      <c r="AF230" s="39">
        <f ca="1">IF(((S230-AB230)/Q230-(R230-AA230)/P230)/Wfc*DiffR&lt;0,MAX(((S230-AB230)/Q230-(R230-AA230)/P230)/Wfc*DiffR,(S230*P230-(R230-AA230-AB230)*Q230)/(P230+Q230)-AB230),MIN(((S230-AB230)/Q230-(R230-AA230)/P230)/Wfc*DiffR,(S230*P230-(R230-AA230-AB230)*Q230)/(P230+Q230)-AB230))</f>
        <v>7.01660726546285e-8</v>
      </c>
      <c r="AG230" s="99">
        <f ca="1">MIN(MAX(Y230+IF(AU230&gt;0,B230*AZ230/AU230,0)+BE230-AD230,0),TEW)</f>
        <v>3.24858471405431</v>
      </c>
      <c r="AH230" s="99">
        <f ca="1">MIN(MAX(Z230+IF(AV230&gt;0,B230*BA230/AV230,0)+BF230-AE230,0),TEW)</f>
        <v>3.24858471405431</v>
      </c>
      <c r="AI230" s="99">
        <f ca="1" t="shared" si="34"/>
        <v>20.1351623633203</v>
      </c>
      <c r="AJ230" s="99">
        <f ca="1" t="shared" si="35"/>
        <v>9.1992910434832e-7</v>
      </c>
      <c r="AK230" s="70">
        <f ca="1">IF((AU230+AV230)&gt;0,(TEW-(AG230*AU230+AH230*AV230)/(AU230+AV230))/TEW,(TEW-(AG230+AH230)/2)/TEW)</f>
        <v>0.901929518066285</v>
      </c>
      <c r="AL230" s="70">
        <f ca="1" t="shared" si="36"/>
        <v>0.739930676193309</v>
      </c>
      <c r="AM230" s="70">
        <f ca="1" t="shared" si="37"/>
        <v>0.999999613702818</v>
      </c>
      <c r="AN230" s="70">
        <f ca="1">Wwp+(Wfc-Wwp)*IF((AU230+AV230)&gt;0,(TEW-(AG230*AU230+AH230*AV230)/(AU230+AV230))/TEW,(TEW-(AG230+AH230)/2)/TEW)</f>
        <v>0.387250837348617</v>
      </c>
      <c r="AO230" s="70">
        <f ca="1">Wwp+(Wfc-Wwp)*(R230-AI230)/R230</f>
        <v>0.36619098790513</v>
      </c>
      <c r="AP230" s="70">
        <f ca="1">Wwp+(Wfc-Wwp)*(S230-AJ230)/S230</f>
        <v>0.399999949781366</v>
      </c>
      <c r="AQ230" s="70"/>
      <c r="AR230" s="70"/>
      <c r="AS230" s="70"/>
      <c r="AT230" s="70"/>
      <c r="AU230" s="70">
        <f ca="1">MIN((1-G230),fw)</f>
        <v>0</v>
      </c>
      <c r="AV230" s="70">
        <f ca="1" t="shared" si="38"/>
        <v>0</v>
      </c>
      <c r="AW230" s="70">
        <f ca="1">MIN((TEW-Y230)/(TEW-REW),1)</f>
        <v>0.121042318584406</v>
      </c>
      <c r="AX230" s="70">
        <f ca="1">MIN((TEW-Z230)/(TEW-REW),1)</f>
        <v>0.121042318584406</v>
      </c>
      <c r="AY230" s="70">
        <f ca="1">IF((AU230*(TEW-Y230))&gt;0,1/(1+((AV230*(TEW-Z230))/(AU230*(TEW-Y230)))),0)</f>
        <v>0</v>
      </c>
      <c r="AZ230" s="70">
        <f ca="1">MIN((AY230*AW230*(Kcmax-H230)),AU230*Kcmax)</f>
        <v>0</v>
      </c>
      <c r="BA230" s="70">
        <f ca="1">MIN(((1-AY230)*AX230*(Kcmax-H230)),AV230*Kcmax)</f>
        <v>0</v>
      </c>
      <c r="BB230" s="70">
        <f ca="1" t="shared" si="39"/>
        <v>0</v>
      </c>
      <c r="BC230" s="70">
        <f ca="1">MIN((R230-AA230)/(R230*(1-(p+0.04*(5-I229)))),1)</f>
        <v>1</v>
      </c>
      <c r="BD230" s="10">
        <f ca="1" t="shared" si="40"/>
        <v>3.42000262435085</v>
      </c>
      <c r="BE230" s="70">
        <f ca="1">MIN(IF((1-AA230/R230)&gt;0,(1-Y230/TEW)/(1-AA230/R230)*(Ze/P230)^0.6,0),1)*BC230*H230*B230</f>
        <v>1.62565496395027</v>
      </c>
      <c r="BF230" s="70">
        <f ca="1">MIN(IF((1-AA230/R230)&gt;0,(1-Z230/TEW)/(1-AA230/R230)*(Ze/P230)^0.6,0),1)*BC230*H230*B230</f>
        <v>1.62565496395027</v>
      </c>
      <c r="BH230" s="10">
        <f ca="1" t="shared" si="41"/>
        <v>0.0115532779556806</v>
      </c>
      <c r="BI230" s="10">
        <f ca="1">IF(F230&lt;&gt;"",(Moy_Etobs-F230)^2,"")</f>
        <v>3.6810882280321</v>
      </c>
    </row>
    <row r="231" spans="1:61">
      <c r="A231" s="38">
        <v>39224</v>
      </c>
      <c r="B231" s="10">
        <v>3.331</v>
      </c>
      <c r="C231" s="39">
        <v>0.198</v>
      </c>
      <c r="D231">
        <v>0.817</v>
      </c>
      <c r="E231" s="39">
        <v>0</v>
      </c>
      <c r="F231" s="10">
        <v>3.0054492</v>
      </c>
      <c r="G231" s="10">
        <f ca="1">MIN(MAX(IF(AND(Durpla&gt;ROW()-MATCH(NDVImax,INDEX(D:D,Lig_min,1):INDEX(D:D,Lig_max,1),0)-Lig_min+1,ROW()-MATCH(NDVImax,INDEX(D:D,Lig_min,1):INDEX(D:D,Lig_max,1),0)-Lig_min+1&gt;0,D231*a_fc+b_fc&gt;fc_fin),NDVImax*a_fc+b_fc,D231*a_fc+b_fc),0),1)</f>
        <v>1</v>
      </c>
      <c r="H231" s="55">
        <f>MIN(MAX(D231*a_kcb+b_kcb,0),Kcmax)</f>
        <v>1.00254058606173</v>
      </c>
      <c r="I231" s="70">
        <f ca="1" t="shared" si="33"/>
        <v>3.33946269217164</v>
      </c>
      <c r="O231" s="55"/>
      <c r="P231" s="35">
        <f ca="1">IF(ROW()-MATCH(NDVImax,INDEX(D:D,Lig_min,1):INDEX(D:D,Lig_max,1),0)-Lig_min+1&gt;0,MAX(MIN(Zr_min+MAX(INDEX(G:G,Lig_min,1):INDEX(G:G,Lig_max,1))/MAX(MAX(INDEX(G:G,Lig_min,1):INDEX(G:G,Lig_max,1)),Max_fc_pour_Zrmax)*(Zr_max-Zr_min),Zr_max),Ze+0.001),MAX(MIN(Zr_min+G231/MAX(MAX(INDEX(G:G,Lig_min,1):INDEX(G:G,Lig_max,1)),Max_fc_pour_Zrmax)*(Zr_max-Zr_min),Zr_max),Ze+0.001))</f>
        <v>595.55606968994</v>
      </c>
      <c r="Q231" s="35">
        <f ca="1">IF(Z_sol&gt;0,Z_sol-P231,0.1)</f>
        <v>18.318481374494</v>
      </c>
      <c r="R231" s="35">
        <f ca="1">(Wfc-Wwp)*P231</f>
        <v>77.4222890596922</v>
      </c>
      <c r="S231" s="35">
        <f ca="1">(Wfc-Wwp)*Q231</f>
        <v>2.38140257868422</v>
      </c>
      <c r="T231" s="99">
        <f ca="1" t="shared" si="42"/>
        <v>3.24858471405431</v>
      </c>
      <c r="U231" s="99">
        <f ca="1" t="shared" si="43"/>
        <v>3.24858471405431</v>
      </c>
      <c r="V231" s="99">
        <f ca="1">IF(P231&gt;P230,IF(Q231&gt;1,MAX(AI230+(Wfc-Wwp)*(P231-P230)*AJ230/S230,0),AI230/P230*P231),MAX(AI230+(Wfc-Wwp)*(P231-P230)*AI230/R230,0))</f>
        <v>20.1351623633203</v>
      </c>
      <c r="W231" s="99">
        <f ca="1">IF(S231&gt;1,IF(P231&gt;P230,MAX(AJ230-(Wfc-Wwp)*(P231-P230)*AJ230/S230,0),MAX(AJ230-(Wfc-Wwp)*(P231-P230)*AI230/R230,0)),0)</f>
        <v>9.1992910434832e-7</v>
      </c>
      <c r="X231" s="99">
        <f ca="1">IF(AND(OR(AND(dec_vide_TAW&lt;0,V231&gt;R231*(p+0.04*(5-I230))),AND(dec_vide_TAW&gt;0,V231&gt;R231*dec_vide_TAW)),H231&gt;MAX(INDEX(H:H,Lig_min,1):INDEX(H:H,ROW(X231),1))*Kcbmax_stop_irrig*IF(ROW(X231)-lig_kcbmax&gt;0,1,0),MIN(INDEX(H:H,ROW(X231),1):INDEX(H:H,lig_kcbmax,1))&gt;Kcbmin_start_irrig),MIN(MAX(V231-E231*Irri_man-C231,0),Lame_max),0)</f>
        <v>0</v>
      </c>
      <c r="Y231" s="99">
        <f ca="1">MIN(MAX(T231-C231-IF(fw&gt;0,X231/fw*Irri_auto+E231/fw*Irri_man,0),0),TEW)</f>
        <v>3.05058471405431</v>
      </c>
      <c r="Z231" s="99">
        <f ca="1">MIN(MAX(U231-C231,0),TEW)</f>
        <v>3.05058471405431</v>
      </c>
      <c r="AA231" s="99">
        <f ca="1">MIN(MAX(V231-C231-(X231*Irri_auto+E231*Irri_man),0),R231)</f>
        <v>19.9371623633203</v>
      </c>
      <c r="AB231" s="99">
        <f ca="1">MIN(MAX(W231+MIN(V231-C231-(X231*Irri_auto+E231*Irri_man),0),0),S231)</f>
        <v>9.1992910434832e-7</v>
      </c>
      <c r="AC231" s="99">
        <f ca="1">-MIN(W231+MIN(V231-C231-(X231*Irri_auto+E231*Irri_man),0),0)</f>
        <v>0</v>
      </c>
      <c r="AD231" s="39">
        <f ca="1">IF(((R231-AA231)/P231-((Wfc-Wwp)*Ze-Y231)/Ze)/Wfc*DiffE&lt;0,MAX(((R231-AA231)/P231-((Wfc-Wwp)*Ze-Y231)/Ze)/Wfc*DiffE,(R231*Ze-((Wfc-Wwp)*Ze-Y231-AA231)*P231)/(P231+Ze)-AA231),MIN(((R231-AA231)/P231-((Wfc-Wwp)*Ze-Y231)/Ze)/Wfc*DiffE,(R231*Ze-((Wfc-Wwp)*Ze-Y231-AA231)*P231)/(P231+Ze)-AA231))</f>
        <v>-2.26796799571952e-8</v>
      </c>
      <c r="AE231" s="39">
        <f ca="1">IF(((R231-AA231)/P231-((Wfc-Wwp)*Ze-Z231)/Ze)/Wfc*DiffE&lt;0,MAX(((R231-AA231)/P231-((Wfc-Wwp)*Ze-Z231)/Ze)/Wfc*DiffE,(R231*Ze-((Wfc-Wwp)*Ze-Z231-AA231)*P231)/(P231+Ze)-AA231),MIN(((R231-AA231)/P231-((Wfc-Wwp)*Ze-Z231)/Ze)/Wfc*DiffE,(R231*Ze-((Wfc-Wwp)*Ze-Z231-AA231)*P231)/(P231+Ze)-AA231))</f>
        <v>-2.26796799571952e-8</v>
      </c>
      <c r="AF231" s="39">
        <f ca="1">IF(((S231-AB231)/Q231-(R231-AA231)/P231)/Wfc*DiffR&lt;0,MAX(((S231-AB231)/Q231-(R231-AA231)/P231)/Wfc*DiffR,(S231*P231-(R231-AA231-AB231)*Q231)/(P231+Q231)-AB231),MIN(((S231-AB231)/Q231-(R231-AA231)/P231)/Wfc*DiffR,(S231*P231-(R231-AA231-AB231)*Q231)/(P231+Q231)-AB231))</f>
        <v>8.36912486916975e-8</v>
      </c>
      <c r="AG231" s="99">
        <f ca="1">MIN(MAX(Y231+IF(AU231&gt;0,B231*AZ231/AU231,0)+BE231-AD231,0),TEW)</f>
        <v>4.65095631805572</v>
      </c>
      <c r="AH231" s="99">
        <f ca="1">MIN(MAX(Z231+IF(AV231&gt;0,B231*BA231/AV231,0)+BF231-AE231,0),TEW)</f>
        <v>4.65095631805572</v>
      </c>
      <c r="AI231" s="99">
        <f ca="1" t="shared" si="34"/>
        <v>23.2766249718007</v>
      </c>
      <c r="AJ231" s="99">
        <f ca="1" t="shared" si="35"/>
        <v>1.00362035304002e-6</v>
      </c>
      <c r="AK231" s="70">
        <f ca="1">IF((AU231+AV231)&gt;0,(TEW-(AG231*AU231+AH231*AV231)/(AU231+AV231))/TEW,(TEW-(AG231+AH231)/2)/TEW)</f>
        <v>0.859593771530393</v>
      </c>
      <c r="AL231" s="70">
        <f ca="1" t="shared" si="36"/>
        <v>0.699354988666706</v>
      </c>
      <c r="AM231" s="70">
        <f ca="1" t="shared" si="37"/>
        <v>0.999999578559139</v>
      </c>
      <c r="AN231" s="70">
        <f ca="1">Wwp+(Wfc-Wwp)*IF((AU231+AV231)&gt;0,(TEW-(AG231*AU231+AH231*AV231)/(AU231+AV231))/TEW,(TEW-(AG231+AH231)/2)/TEW)</f>
        <v>0.381747190298951</v>
      </c>
      <c r="AO231" s="70">
        <f ca="1">Wwp+(Wfc-Wwp)*(R231-AI231)/R231</f>
        <v>0.360916148526672</v>
      </c>
      <c r="AP231" s="70">
        <f ca="1">Wwp+(Wfc-Wwp)*(S231-AJ231)/S231</f>
        <v>0.399999945212688</v>
      </c>
      <c r="AQ231" s="70"/>
      <c r="AR231" s="70"/>
      <c r="AS231" s="70"/>
      <c r="AT231" s="70"/>
      <c r="AU231" s="70">
        <f ca="1">MIN((1-G231),fw)</f>
        <v>0</v>
      </c>
      <c r="AV231" s="70">
        <f ca="1" t="shared" si="38"/>
        <v>0</v>
      </c>
      <c r="AW231" s="70">
        <f ca="1">MIN((TEW-Y231)/(TEW-REW),1)</f>
        <v>0.1155567530339</v>
      </c>
      <c r="AX231" s="70">
        <f ca="1">MIN((TEW-Z231)/(TEW-REW),1)</f>
        <v>0.1155567530339</v>
      </c>
      <c r="AY231" s="70">
        <f ca="1">IF((AU231*(TEW-Y231))&gt;0,1/(1+((AV231*(TEW-Z231))/(AU231*(TEW-Y231)))),0)</f>
        <v>0</v>
      </c>
      <c r="AZ231" s="70">
        <f ca="1">MIN((AY231*AW231*(Kcmax-H231)),AU231*Kcmax)</f>
        <v>0</v>
      </c>
      <c r="BA231" s="70">
        <f ca="1">MIN(((1-AY231)*AX231*(Kcmax-H231)),AV231*Kcmax)</f>
        <v>0</v>
      </c>
      <c r="BB231" s="70">
        <f ca="1" t="shared" si="39"/>
        <v>0</v>
      </c>
      <c r="BC231" s="70">
        <f ca="1">MIN((R231-AA231)/(R231*(1-(p+0.04*(5-I230)))),1)</f>
        <v>1</v>
      </c>
      <c r="BD231" s="10">
        <f ca="1" t="shared" si="40"/>
        <v>3.33946269217164</v>
      </c>
      <c r="BE231" s="70">
        <f ca="1">MIN(IF((1-AA231/R231)&gt;0,(1-Y231/TEW)/(1-AA231/R231)*(Ze/P231)^0.6,0),1)*BC231*H231*B231</f>
        <v>1.60037158132173</v>
      </c>
      <c r="BF231" s="70">
        <f ca="1">MIN(IF((1-AA231/R231)&gt;0,(1-Z231/TEW)/(1-AA231/R231)*(Ze/P231)^0.6,0),1)*BC231*H231*B231</f>
        <v>1.60037158132173</v>
      </c>
      <c r="BH231" s="10">
        <f ca="1" t="shared" si="41"/>
        <v>0.111565012952693</v>
      </c>
      <c r="BI231" s="10">
        <f ca="1">IF(F231&lt;&gt;"",(Moy_Etobs-F231)^2,"")</f>
        <v>1.95042627619231</v>
      </c>
    </row>
    <row r="232" spans="1:61">
      <c r="A232" s="38">
        <v>39225</v>
      </c>
      <c r="B232" s="10">
        <v>4.448</v>
      </c>
      <c r="C232" s="39">
        <v>0</v>
      </c>
      <c r="D232">
        <v>0.813</v>
      </c>
      <c r="E232" s="39">
        <v>0</v>
      </c>
      <c r="F232" s="10">
        <v>4.6392282</v>
      </c>
      <c r="G232" s="10">
        <f ca="1">MIN(MAX(IF(AND(Durpla&gt;ROW()-MATCH(NDVImax,INDEX(D:D,Lig_min,1):INDEX(D:D,Lig_max,1),0)-Lig_min+1,ROW()-MATCH(NDVImax,INDEX(D:D,Lig_min,1):INDEX(D:D,Lig_max,1),0)-Lig_min+1&gt;0,D232*a_fc+b_fc&gt;fc_fin),NDVImax*a_fc+b_fc,D232*a_fc+b_fc),0),1)</f>
        <v>1</v>
      </c>
      <c r="H232" s="55">
        <f>MIN(MAX(D232*a_kcb+b_kcb,0),Kcmax)</f>
        <v>0.996528348664063</v>
      </c>
      <c r="I232" s="70">
        <f ca="1" t="shared" si="33"/>
        <v>4.43255809485775</v>
      </c>
      <c r="O232" s="55"/>
      <c r="P232" s="35">
        <f ca="1">IF(ROW()-MATCH(NDVImax,INDEX(D:D,Lig_min,1):INDEX(D:D,Lig_max,1),0)-Lig_min+1&gt;0,MAX(MIN(Zr_min+MAX(INDEX(G:G,Lig_min,1):INDEX(G:G,Lig_max,1))/MAX(MAX(INDEX(G:G,Lig_min,1):INDEX(G:G,Lig_max,1)),Max_fc_pour_Zrmax)*(Zr_max-Zr_min),Zr_max),Ze+0.001),MAX(MIN(Zr_min+G232/MAX(MAX(INDEX(G:G,Lig_min,1):INDEX(G:G,Lig_max,1)),Max_fc_pour_Zrmax)*(Zr_max-Zr_min),Zr_max),Ze+0.001))</f>
        <v>595.55606968994</v>
      </c>
      <c r="Q232" s="35">
        <f ca="1">IF(Z_sol&gt;0,Z_sol-P232,0.1)</f>
        <v>18.318481374494</v>
      </c>
      <c r="R232" s="35">
        <f ca="1">(Wfc-Wwp)*P232</f>
        <v>77.4222890596922</v>
      </c>
      <c r="S232" s="35">
        <f ca="1">(Wfc-Wwp)*Q232</f>
        <v>2.38140257868422</v>
      </c>
      <c r="T232" s="99">
        <f ca="1" t="shared" si="42"/>
        <v>4.65095631805572</v>
      </c>
      <c r="U232" s="99">
        <f ca="1" t="shared" si="43"/>
        <v>4.65095631805572</v>
      </c>
      <c r="V232" s="99">
        <f ca="1">IF(P232&gt;P231,IF(Q232&gt;1,MAX(AI231+(Wfc-Wwp)*(P232-P231)*AJ231/S231,0),AI231/P231*P232),MAX(AI231+(Wfc-Wwp)*(P232-P231)*AI231/R231,0))</f>
        <v>23.2766249718007</v>
      </c>
      <c r="W232" s="99">
        <f ca="1">IF(S232&gt;1,IF(P232&gt;P231,MAX(AJ231-(Wfc-Wwp)*(P232-P231)*AJ231/S231,0),MAX(AJ231-(Wfc-Wwp)*(P232-P231)*AI231/R231,0)),0)</f>
        <v>1.00362035304002e-6</v>
      </c>
      <c r="X232" s="99">
        <f ca="1">IF(AND(OR(AND(dec_vide_TAW&lt;0,V232&gt;R232*(p+0.04*(5-I231))),AND(dec_vide_TAW&gt;0,V232&gt;R232*dec_vide_TAW)),H232&gt;MAX(INDEX(H:H,Lig_min,1):INDEX(H:H,ROW(X232),1))*Kcbmax_stop_irrig*IF(ROW(X232)-lig_kcbmax&gt;0,1,0),MIN(INDEX(H:H,ROW(X232),1):INDEX(H:H,lig_kcbmax,1))&gt;Kcbmin_start_irrig),MIN(MAX(V232-E232*Irri_man-C232,0),Lame_max),0)</f>
        <v>0</v>
      </c>
      <c r="Y232" s="99">
        <f ca="1">MIN(MAX(T232-C232-IF(fw&gt;0,X232/fw*Irri_auto+E232/fw*Irri_man,0),0),TEW)</f>
        <v>4.65095631805572</v>
      </c>
      <c r="Z232" s="99">
        <f ca="1">MIN(MAX(U232-C232,0),TEW)</f>
        <v>4.65095631805572</v>
      </c>
      <c r="AA232" s="99">
        <f ca="1">MIN(MAX(V232-C232-(X232*Irri_auto+E232*Irri_man),0),R232)</f>
        <v>23.2766249718007</v>
      </c>
      <c r="AB232" s="99">
        <f ca="1">MIN(MAX(W232+MIN(V232-C232-(X232*Irri_auto+E232*Irri_man),0),0),S232)</f>
        <v>1.00362035304002e-6</v>
      </c>
      <c r="AC232" s="99">
        <f ca="1">-MIN(W232+MIN(V232-C232-(X232*Irri_auto+E232*Irri_man),0),0)</f>
        <v>0</v>
      </c>
      <c r="AD232" s="39">
        <f ca="1">IF(((R232-AA232)/P232-((Wfc-Wwp)*Ze-Y232)/Ze)/Wfc*DiffE&lt;0,MAX(((R232-AA232)/P232-((Wfc-Wwp)*Ze-Y232)/Ze)/Wfc*DiffE,(R232*Ze-((Wfc-Wwp)*Ze-Y232-AA232)*P232)/(P232+Ze)-AA232),MIN(((R232-AA232)/P232-((Wfc-Wwp)*Ze-Y232)/Ze)/Wfc*DiffE,(R232*Ze-((Wfc-Wwp)*Ze-Y232-AA232)*P232)/(P232+Ze)-AA232))</f>
        <v>-4.69050232220613e-9</v>
      </c>
      <c r="AE232" s="39">
        <f ca="1">IF(((R232-AA232)/P232-((Wfc-Wwp)*Ze-Z232)/Ze)/Wfc*DiffE&lt;0,MAX(((R232-AA232)/P232-((Wfc-Wwp)*Ze-Z232)/Ze)/Wfc*DiffE,(R232*Ze-((Wfc-Wwp)*Ze-Z232-AA232)*P232)/(P232+Ze)-AA232),MIN(((R232-AA232)/P232-((Wfc-Wwp)*Ze-Z232)/Ze)/Wfc*DiffE,(R232*Ze-((Wfc-Wwp)*Ze-Z232-AA232)*P232)/(P232+Ze)-AA232))</f>
        <v>-4.69050232220613e-9</v>
      </c>
      <c r="AF232" s="39">
        <f ca="1">IF(((S232-AB232)/Q232-(R232-AA232)/P232)/Wfc*DiffR&lt;0,MAX(((S232-AB232)/Q232-(R232-AA232)/P232)/Wfc*DiffR,(S232*P232-(R232-AA232-AB232)*Q232)/(P232+Q232)-AB232),MIN(((S232-AB232)/Q232-(R232-AA232)/P232)/Wfc*DiffR,(S232*P232-(R232-AA232-AB232)*Q232)/(P232+Q232)-AB232))</f>
        <v>9.77094917150408e-8</v>
      </c>
      <c r="AG232" s="99">
        <f ca="1">MIN(MAX(Y232+IF(AU232&gt;0,B232*AZ232/AU232,0)+BE232-AD232,0),TEW)</f>
        <v>6.78617536494479</v>
      </c>
      <c r="AH232" s="99">
        <f ca="1">MIN(MAX(Z232+IF(AV232&gt;0,B232*BA232/AV232,0)+BF232-AE232,0),TEW)</f>
        <v>6.78617536494479</v>
      </c>
      <c r="AI232" s="99">
        <f ca="1" t="shared" si="34"/>
        <v>27.709182968949</v>
      </c>
      <c r="AJ232" s="99">
        <f ca="1" t="shared" si="35"/>
        <v>1.10132984475506e-6</v>
      </c>
      <c r="AK232" s="70">
        <f ca="1">IF((AU232+AV232)&gt;0,(TEW-(AG232*AU232+AH232*AV232)/(AU232+AV232))/TEW,(TEW-(AG232+AH232)/2)/TEW)</f>
        <v>0.79513432860544</v>
      </c>
      <c r="AL232" s="70">
        <f ca="1" t="shared" si="36"/>
        <v>0.642103284396754</v>
      </c>
      <c r="AM232" s="70">
        <f ca="1" t="shared" si="37"/>
        <v>0.999999537528911</v>
      </c>
      <c r="AN232" s="70">
        <f ca="1">Wwp+(Wfc-Wwp)*IF((AU232+AV232)&gt;0,(TEW-(AG232*AU232+AH232*AV232)/(AU232+AV232))/TEW,(TEW-(AG232+AH232)/2)/TEW)</f>
        <v>0.373367462718707</v>
      </c>
      <c r="AO232" s="70">
        <f ca="1">Wwp+(Wfc-Wwp)*(R232-AI232)/R232</f>
        <v>0.353473426971578</v>
      </c>
      <c r="AP232" s="70">
        <f ca="1">Wwp+(Wfc-Wwp)*(S232-AJ232)/S232</f>
        <v>0.399999939878758</v>
      </c>
      <c r="AQ232" s="70"/>
      <c r="AR232" s="70"/>
      <c r="AS232" s="70"/>
      <c r="AT232" s="70"/>
      <c r="AU232" s="70">
        <f ca="1">MIN((1-G232),fw)</f>
        <v>0</v>
      </c>
      <c r="AV232" s="70">
        <f ca="1" t="shared" si="38"/>
        <v>0</v>
      </c>
      <c r="AW232" s="70">
        <f ca="1">MIN((TEW-Y232)/(TEW-REW),1)</f>
        <v>0.109407547988757</v>
      </c>
      <c r="AX232" s="70">
        <f ca="1">MIN((TEW-Z232)/(TEW-REW),1)</f>
        <v>0.109407547988757</v>
      </c>
      <c r="AY232" s="70">
        <f ca="1">IF((AU232*(TEW-Y232))&gt;0,1/(1+((AV232*(TEW-Z232))/(AU232*(TEW-Y232)))),0)</f>
        <v>0</v>
      </c>
      <c r="AZ232" s="70">
        <f ca="1">MIN((AY232*AW232*(Kcmax-H232)),AU232*Kcmax)</f>
        <v>0</v>
      </c>
      <c r="BA232" s="70">
        <f ca="1">MIN(((1-AY232)*AX232*(Kcmax-H232)),AV232*Kcmax)</f>
        <v>0</v>
      </c>
      <c r="BB232" s="70">
        <f ca="1" t="shared" si="39"/>
        <v>0</v>
      </c>
      <c r="BC232" s="70">
        <f ca="1">MIN((R232-AA232)/(R232*(1-(p+0.04*(5-I231)))),1)</f>
        <v>1</v>
      </c>
      <c r="BD232" s="10">
        <f ca="1" t="shared" si="40"/>
        <v>4.43255809485775</v>
      </c>
      <c r="BE232" s="70">
        <f ca="1">MIN(IF((1-AA232/R232)&gt;0,(1-Y232/TEW)/(1-AA232/R232)*(Ze/P232)^0.6,0),1)*BC232*H232*B232</f>
        <v>2.13521904219857</v>
      </c>
      <c r="BF232" s="70">
        <f ca="1">MIN(IF((1-AA232/R232)&gt;0,(1-Z232/TEW)/(1-AA232/R232)*(Ze/P232)^0.6,0),1)*BC232*H232*B232</f>
        <v>2.13521904219857</v>
      </c>
      <c r="BH232" s="10">
        <f ca="1" t="shared" si="41"/>
        <v>0.0427125323595074</v>
      </c>
      <c r="BI232" s="10">
        <f ca="1">IF(F232&lt;&gt;"",(Moy_Etobs-F232)^2,"")</f>
        <v>9.18305522849824</v>
      </c>
    </row>
    <row r="233" spans="1:61">
      <c r="A233" s="38">
        <v>39226</v>
      </c>
      <c r="B233" s="10">
        <v>4.366</v>
      </c>
      <c r="C233" s="39">
        <v>0</v>
      </c>
      <c r="D233">
        <v>0.809</v>
      </c>
      <c r="E233" s="39">
        <v>0</v>
      </c>
      <c r="F233" s="10">
        <v>3.979656</v>
      </c>
      <c r="G233" s="10">
        <f ca="1">MIN(MAX(IF(AND(Durpla&gt;ROW()-MATCH(NDVImax,INDEX(D:D,Lig_min,1):INDEX(D:D,Lig_max,1),0)-Lig_min+1,ROW()-MATCH(NDVImax,INDEX(D:D,Lig_min,1):INDEX(D:D,Lig_max,1),0)-Lig_min+1&gt;0,D233*a_fc+b_fc&gt;fc_fin),NDVImax*a_fc+b_fc,D233*a_fc+b_fc),0),1)</f>
        <v>1</v>
      </c>
      <c r="H233" s="55">
        <f>MIN(MAX(D233*a_kcb+b_kcb,0),Kcmax)</f>
        <v>0.990516111266392</v>
      </c>
      <c r="I233" s="70">
        <f ca="1" t="shared" si="33"/>
        <v>4.32459334178907</v>
      </c>
      <c r="O233" s="55"/>
      <c r="P233" s="35">
        <f ca="1">IF(ROW()-MATCH(NDVImax,INDEX(D:D,Lig_min,1):INDEX(D:D,Lig_max,1),0)-Lig_min+1&gt;0,MAX(MIN(Zr_min+MAX(INDEX(G:G,Lig_min,1):INDEX(G:G,Lig_max,1))/MAX(MAX(INDEX(G:G,Lig_min,1):INDEX(G:G,Lig_max,1)),Max_fc_pour_Zrmax)*(Zr_max-Zr_min),Zr_max),Ze+0.001),MAX(MIN(Zr_min+G233/MAX(MAX(INDEX(G:G,Lig_min,1):INDEX(G:G,Lig_max,1)),Max_fc_pour_Zrmax)*(Zr_max-Zr_min),Zr_max),Ze+0.001))</f>
        <v>595.55606968994</v>
      </c>
      <c r="Q233" s="35">
        <f ca="1">IF(Z_sol&gt;0,Z_sol-P233,0.1)</f>
        <v>18.318481374494</v>
      </c>
      <c r="R233" s="35">
        <f ca="1">(Wfc-Wwp)*P233</f>
        <v>77.4222890596922</v>
      </c>
      <c r="S233" s="35">
        <f ca="1">(Wfc-Wwp)*Q233</f>
        <v>2.38140257868422</v>
      </c>
      <c r="T233" s="99">
        <f ca="1" t="shared" si="42"/>
        <v>6.78617536494479</v>
      </c>
      <c r="U233" s="99">
        <f ca="1" t="shared" si="43"/>
        <v>6.78617536494479</v>
      </c>
      <c r="V233" s="99">
        <f ca="1">IF(P233&gt;P232,IF(Q233&gt;1,MAX(AI232+(Wfc-Wwp)*(P233-P232)*AJ232/S232,0),AI232/P232*P233),MAX(AI232+(Wfc-Wwp)*(P233-P232)*AI232/R232,0))</f>
        <v>27.709182968949</v>
      </c>
      <c r="W233" s="99">
        <f ca="1">IF(S233&gt;1,IF(P233&gt;P232,MAX(AJ232-(Wfc-Wwp)*(P233-P232)*AJ232/S232,0),MAX(AJ232-(Wfc-Wwp)*(P233-P232)*AI232/R232,0)),0)</f>
        <v>1.10132984475506e-6</v>
      </c>
      <c r="X233" s="99">
        <f ca="1">IF(AND(OR(AND(dec_vide_TAW&lt;0,V233&gt;R233*(p+0.04*(5-I232))),AND(dec_vide_TAW&gt;0,V233&gt;R233*dec_vide_TAW)),H233&gt;MAX(INDEX(H:H,Lig_min,1):INDEX(H:H,ROW(X233),1))*Kcbmax_stop_irrig*IF(ROW(X233)-lig_kcbmax&gt;0,1,0),MIN(INDEX(H:H,ROW(X233),1):INDEX(H:H,lig_kcbmax,1))&gt;Kcbmin_start_irrig),MIN(MAX(V233-E233*Irri_man-C233,0),Lame_max),0)</f>
        <v>0</v>
      </c>
      <c r="Y233" s="99">
        <f ca="1">MIN(MAX(T233-C233-IF(fw&gt;0,X233/fw*Irri_auto+E233/fw*Irri_man,0),0),TEW)</f>
        <v>6.78617536494479</v>
      </c>
      <c r="Z233" s="99">
        <f ca="1">MIN(MAX(U233-C233,0),TEW)</f>
        <v>6.78617536494479</v>
      </c>
      <c r="AA233" s="99">
        <f ca="1">MIN(MAX(V233-C233-(X233*Irri_auto+E233*Irri_man),0),R233)</f>
        <v>27.709182968949</v>
      </c>
      <c r="AB233" s="99">
        <f ca="1">MIN(MAX(W233+MIN(V233-C233-(X233*Irri_auto+E233*Irri_man),0),0),S233)</f>
        <v>1.10132984475506e-6</v>
      </c>
      <c r="AC233" s="99">
        <f ca="1">-MIN(W233+MIN(V233-C233-(X233*Irri_auto+E233*Irri_man),0),0)</f>
        <v>0</v>
      </c>
      <c r="AD233" s="39">
        <f ca="1">IF(((R233-AA233)/P233-((Wfc-Wwp)*Ze-Y233)/Ze)/Wfc*DiffE&lt;0,MAX(((R233-AA233)/P233-((Wfc-Wwp)*Ze-Y233)/Ze)/Wfc*DiffE,(R233*Ze-((Wfc-Wwp)*Ze-Y233-AA233)*P233)/(P233+Ze)-AA233),MIN(((R233-AA233)/P233-((Wfc-Wwp)*Ze-Y233)/Ze)/Wfc*DiffE,(R233*Ze-((Wfc-Wwp)*Ze-Y233-AA233)*P233)/(P233+Ze)-AA233))</f>
        <v>1.94070747278408e-8</v>
      </c>
      <c r="AE233" s="39">
        <f ca="1">IF(((R233-AA233)/P233-((Wfc-Wwp)*Ze-Z233)/Ze)/Wfc*DiffE&lt;0,MAX(((R233-AA233)/P233-((Wfc-Wwp)*Ze-Z233)/Ze)/Wfc*DiffE,(R233*Ze-((Wfc-Wwp)*Ze-Z233-AA233)*P233)/(P233+Ze)-AA233),MIN(((R233-AA233)/P233-((Wfc-Wwp)*Ze-Z233)/Ze)/Wfc*DiffE,(R233*Ze-((Wfc-Wwp)*Ze-Z233-AA233)*P233)/(P233+Ze)-AA233))</f>
        <v>1.94070747278408e-8</v>
      </c>
      <c r="AF233" s="39">
        <f ca="1">IF(((S233-AB233)/Q233-(R233-AA233)/P233)/Wfc*DiffR&lt;0,MAX(((S233-AB233)/Q233-(R233-AA233)/P233)/Wfc*DiffR,(S233*P233-(R233-AA233-AB233)*Q233)/(P233+Q233)-AB233),MIN(((S233-AB233)/Q233-(R233-AA233)/P233)/Wfc*DiffR,(S233*P233-(R233-AA233-AB233)*Q233)/(P233+Q233)-AB233))</f>
        <v>1.16316282267951e-7</v>
      </c>
      <c r="AG233" s="99">
        <f ca="1">MIN(MAX(Y233+IF(AU233&gt;0,B233*AZ233/AU233,0)+BE233-AD233,0),TEW)</f>
        <v>8.88498620432364</v>
      </c>
      <c r="AH233" s="99">
        <f ca="1">MIN(MAX(Z233+IF(AV233&gt;0,B233*BA233/AV233,0)+BF233-AE233,0),TEW)</f>
        <v>8.88498620432364</v>
      </c>
      <c r="AI233" s="99">
        <f ca="1" t="shared" si="34"/>
        <v>32.0337761944218</v>
      </c>
      <c r="AJ233" s="99">
        <f ca="1" t="shared" si="35"/>
        <v>1.21764612702301e-6</v>
      </c>
      <c r="AK233" s="70">
        <f ca="1">IF((AU233+AV233)&gt;0,(TEW-(AG233*AU233+AH233*AV233)/(AU233+AV233))/TEW,(TEW-(AG233+AH233)/2)/TEW)</f>
        <v>0.731774001378909</v>
      </c>
      <c r="AL233" s="70">
        <f ca="1" t="shared" si="36"/>
        <v>0.586246072242531</v>
      </c>
      <c r="AM233" s="70">
        <f ca="1" t="shared" si="37"/>
        <v>0.999999488685308</v>
      </c>
      <c r="AN233" s="70">
        <f ca="1">Wwp+(Wfc-Wwp)*IF((AU233+AV233)&gt;0,(TEW-(AG233*AU233+AH233*AV233)/(AU233+AV233))/TEW,(TEW-(AG233+AH233)/2)/TEW)</f>
        <v>0.365130620179258</v>
      </c>
      <c r="AO233" s="70">
        <f ca="1">Wwp+(Wfc-Wwp)*(R233-AI233)/R233</f>
        <v>0.346211989391529</v>
      </c>
      <c r="AP233" s="70">
        <f ca="1">Wwp+(Wfc-Wwp)*(S233-AJ233)/S233</f>
        <v>0.39999993352909</v>
      </c>
      <c r="AQ233" s="70"/>
      <c r="AR233" s="70"/>
      <c r="AS233" s="70"/>
      <c r="AT233" s="70"/>
      <c r="AU233" s="70">
        <f ca="1">MIN((1-G233),fw)</f>
        <v>0</v>
      </c>
      <c r="AV233" s="70">
        <f ca="1" t="shared" si="38"/>
        <v>0</v>
      </c>
      <c r="AW233" s="70">
        <f ca="1">MIN((TEW-Y233)/(TEW-REW),1)</f>
        <v>0.10120326611898</v>
      </c>
      <c r="AX233" s="70">
        <f ca="1">MIN((TEW-Z233)/(TEW-REW),1)</f>
        <v>0.10120326611898</v>
      </c>
      <c r="AY233" s="70">
        <f ca="1">IF((AU233*(TEW-Y233))&gt;0,1/(1+((AV233*(TEW-Z233))/(AU233*(TEW-Y233)))),0)</f>
        <v>0</v>
      </c>
      <c r="AZ233" s="70">
        <f ca="1">MIN((AY233*AW233*(Kcmax-H233)),AU233*Kcmax)</f>
        <v>0</v>
      </c>
      <c r="BA233" s="70">
        <f ca="1">MIN(((1-AY233)*AX233*(Kcmax-H233)),AV233*Kcmax)</f>
        <v>0</v>
      </c>
      <c r="BB233" s="70">
        <f ca="1" t="shared" si="39"/>
        <v>0</v>
      </c>
      <c r="BC233" s="70">
        <f ca="1">MIN((R233-AA233)/(R233*(1-(p+0.04*(5-I232)))),1)</f>
        <v>1</v>
      </c>
      <c r="BD233" s="10">
        <f ca="1" t="shared" si="40"/>
        <v>4.32459334178907</v>
      </c>
      <c r="BE233" s="70">
        <f ca="1">MIN(IF((1-AA233/R233)&gt;0,(1-Y233/TEW)/(1-AA233/R233)*(Ze/P233)^0.6,0),1)*BC233*H233*B233</f>
        <v>2.09881085878592</v>
      </c>
      <c r="BF233" s="70">
        <f ca="1">MIN(IF((1-AA233/R233)&gt;0,(1-Z233/TEW)/(1-AA233/R233)*(Ze/P233)^0.6,0),1)*BC233*H233*B233</f>
        <v>2.09881085878592</v>
      </c>
      <c r="BH233" s="10">
        <f ca="1" t="shared" si="41"/>
        <v>0.118981769760507</v>
      </c>
      <c r="BI233" s="10">
        <f ca="1">IF(F233&lt;&gt;"",(Moy_Etobs-F233)^2,"")</f>
        <v>5.6206140596215</v>
      </c>
    </row>
    <row r="234" spans="1:61">
      <c r="A234" s="38">
        <v>39227</v>
      </c>
      <c r="B234" s="10">
        <v>2.005</v>
      </c>
      <c r="C234" s="39">
        <v>21.58</v>
      </c>
      <c r="D234">
        <v>0.806</v>
      </c>
      <c r="E234" s="39">
        <v>0</v>
      </c>
      <c r="F234" s="10">
        <v>2.1850596</v>
      </c>
      <c r="G234" s="10">
        <f ca="1">MIN(MAX(IF(AND(Durpla&gt;ROW()-MATCH(NDVImax,INDEX(D:D,Lig_min,1):INDEX(D:D,Lig_max,1),0)-Lig_min+1,ROW()-MATCH(NDVImax,INDEX(D:D,Lig_min,1):INDEX(D:D,Lig_max,1),0)-Lig_min+1&gt;0,D234*a_fc+b_fc&gt;fc_fin),NDVImax*a_fc+b_fc,D234*a_fc+b_fc),0),1)</f>
        <v>1</v>
      </c>
      <c r="H234" s="55">
        <f>MIN(MAX(D234*a_kcb+b_kcb,0),Kcmax)</f>
        <v>0.986006933218138</v>
      </c>
      <c r="I234" s="70">
        <f ca="1" t="shared" si="33"/>
        <v>1.97694390110237</v>
      </c>
      <c r="O234" s="55"/>
      <c r="P234" s="35">
        <f ca="1">IF(ROW()-MATCH(NDVImax,INDEX(D:D,Lig_min,1):INDEX(D:D,Lig_max,1),0)-Lig_min+1&gt;0,MAX(MIN(Zr_min+MAX(INDEX(G:G,Lig_min,1):INDEX(G:G,Lig_max,1))/MAX(MAX(INDEX(G:G,Lig_min,1):INDEX(G:G,Lig_max,1)),Max_fc_pour_Zrmax)*(Zr_max-Zr_min),Zr_max),Ze+0.001),MAX(MIN(Zr_min+G234/MAX(MAX(INDEX(G:G,Lig_min,1):INDEX(G:G,Lig_max,1)),Max_fc_pour_Zrmax)*(Zr_max-Zr_min),Zr_max),Ze+0.001))</f>
        <v>595.55606968994</v>
      </c>
      <c r="Q234" s="35">
        <f ca="1">IF(Z_sol&gt;0,Z_sol-P234,0.1)</f>
        <v>18.318481374494</v>
      </c>
      <c r="R234" s="35">
        <f ca="1">(Wfc-Wwp)*P234</f>
        <v>77.4222890596922</v>
      </c>
      <c r="S234" s="35">
        <f ca="1">(Wfc-Wwp)*Q234</f>
        <v>2.38140257868422</v>
      </c>
      <c r="T234" s="99">
        <f ca="1" t="shared" si="42"/>
        <v>8.88498620432364</v>
      </c>
      <c r="U234" s="99">
        <f ca="1" t="shared" si="43"/>
        <v>8.88498620432364</v>
      </c>
      <c r="V234" s="99">
        <f ca="1">IF(P234&gt;P233,IF(Q234&gt;1,MAX(AI233+(Wfc-Wwp)*(P234-P233)*AJ233/S233,0),AI233/P233*P234),MAX(AI233+(Wfc-Wwp)*(P234-P233)*AI233/R233,0))</f>
        <v>32.0337761944218</v>
      </c>
      <c r="W234" s="99">
        <f ca="1">IF(S234&gt;1,IF(P234&gt;P233,MAX(AJ233-(Wfc-Wwp)*(P234-P233)*AJ233/S233,0),MAX(AJ233-(Wfc-Wwp)*(P234-P233)*AI233/R233,0)),0)</f>
        <v>1.21764612702301e-6</v>
      </c>
      <c r="X234" s="99">
        <f ca="1">IF(AND(OR(AND(dec_vide_TAW&lt;0,V234&gt;R234*(p+0.04*(5-I233))),AND(dec_vide_TAW&gt;0,V234&gt;R234*dec_vide_TAW)),H234&gt;MAX(INDEX(H:H,Lig_min,1):INDEX(H:H,ROW(X234),1))*Kcbmax_stop_irrig*IF(ROW(X234)-lig_kcbmax&gt;0,1,0),MIN(INDEX(H:H,ROW(X234),1):INDEX(H:H,lig_kcbmax,1))&gt;Kcbmin_start_irrig),MIN(MAX(V234-E234*Irri_man-C234,0),Lame_max),0)</f>
        <v>0</v>
      </c>
      <c r="Y234" s="99">
        <f ca="1">MIN(MAX(T234-C234-IF(fw&gt;0,X234/fw*Irri_auto+E234/fw*Irri_man,0),0),TEW)</f>
        <v>0</v>
      </c>
      <c r="Z234" s="99">
        <f ca="1">MIN(MAX(U234-C234,0),TEW)</f>
        <v>0</v>
      </c>
      <c r="AA234" s="99">
        <f ca="1">MIN(MAX(V234-C234-(X234*Irri_auto+E234*Irri_man),0),R234)</f>
        <v>10.4537761944218</v>
      </c>
      <c r="AB234" s="99">
        <f ca="1">MIN(MAX(W234+MIN(V234-C234-(X234*Irri_auto+E234*Irri_man),0),0),S234)</f>
        <v>1.21764612702301e-6</v>
      </c>
      <c r="AC234" s="99">
        <f ca="1">-MIN(W234+MIN(V234-C234-(X234*Irri_auto+E234*Irri_man),0),0)</f>
        <v>0</v>
      </c>
      <c r="AD234" s="39">
        <f ca="1">IF(((R234-AA234)/P234-((Wfc-Wwp)*Ze-Y234)/Ze)/Wfc*DiffE&lt;0,MAX(((R234-AA234)/P234-((Wfc-Wwp)*Ze-Y234)/Ze)/Wfc*DiffE,(R234*Ze-((Wfc-Wwp)*Ze-Y234-AA234)*P234)/(P234+Ze)-AA234),MIN(((R234-AA234)/P234-((Wfc-Wwp)*Ze-Y234)/Ze)/Wfc*DiffE,(R234*Ze-((Wfc-Wwp)*Ze-Y234-AA234)*P234)/(P234+Ze)-AA234))</f>
        <v>-4.38824181569682e-8</v>
      </c>
      <c r="AE234" s="39">
        <f ca="1">IF(((R234-AA234)/P234-((Wfc-Wwp)*Ze-Z234)/Ze)/Wfc*DiffE&lt;0,MAX(((R234-AA234)/P234-((Wfc-Wwp)*Ze-Z234)/Ze)/Wfc*DiffE,(R234*Ze-((Wfc-Wwp)*Ze-Z234-AA234)*P234)/(P234+Ze)-AA234),MIN(((R234-AA234)/P234-((Wfc-Wwp)*Ze-Z234)/Ze)/Wfc*DiffE,(R234*Ze-((Wfc-Wwp)*Ze-Z234-AA234)*P234)/(P234+Ze)-AA234))</f>
        <v>-4.38824181569682e-8</v>
      </c>
      <c r="AF234" s="39">
        <f ca="1">IF(((S234-AB234)/Q234-(R234-AA234)/P234)/Wfc*DiffR&lt;0,MAX(((S234-AB234)/Q234-(R234-AA234)/P234)/Wfc*DiffR,(S234*P234-(R234-AA234-AB234)*Q234)/(P234+Q234)-AB234),MIN(((S234-AB234)/Q234-(R234-AA234)/P234)/Wfc*DiffR,(S234*P234-(R234-AA234-AB234)*Q234)/(P234+Q234)-AB234))</f>
        <v>4.38822519796932e-8</v>
      </c>
      <c r="AG234" s="99">
        <f ca="1">MIN(MAX(Y234+IF(AU234&gt;0,B234*AZ234/AU234,0)+BE234-AD234,0),TEW)</f>
        <v>0.895740342050014</v>
      </c>
      <c r="AH234" s="99">
        <f ca="1">MIN(MAX(Z234+IF(AV234&gt;0,B234*BA234/AV234,0)+BF234-AE234,0),TEW)</f>
        <v>0.895740342050014</v>
      </c>
      <c r="AI234" s="99">
        <f ca="1" t="shared" si="34"/>
        <v>12.4307200516419</v>
      </c>
      <c r="AJ234" s="99">
        <f ca="1" t="shared" si="35"/>
        <v>1.2615283790027e-6</v>
      </c>
      <c r="AK234" s="70">
        <f ca="1">IF((AU234+AV234)&gt;0,(TEW-(AG234*AU234+AH234*AV234)/(AU234+AV234))/TEW,(TEW-(AG234+AH234)/2)/TEW)</f>
        <v>0.972958782126792</v>
      </c>
      <c r="AL234" s="70">
        <f ca="1" t="shared" si="36"/>
        <v>0.83944261784797</v>
      </c>
      <c r="AM234" s="70">
        <f ca="1" t="shared" si="37"/>
        <v>0.999999470258246</v>
      </c>
      <c r="AN234" s="70">
        <f ca="1">Wwp+(Wfc-Wwp)*IF((AU234+AV234)&gt;0,(TEW-(AG234*AU234+AH234*AV234)/(AU234+AV234))/TEW,(TEW-(AG234+AH234)/2)/TEW)</f>
        <v>0.396484641676483</v>
      </c>
      <c r="AO234" s="70">
        <f ca="1">Wwp+(Wfc-Wwp)*(R234-AI234)/R234</f>
        <v>0.379127540320236</v>
      </c>
      <c r="AP234" s="70">
        <f ca="1">Wwp+(Wfc-Wwp)*(S234-AJ234)/S234</f>
        <v>0.399999931133572</v>
      </c>
      <c r="AQ234" s="70"/>
      <c r="AR234" s="70"/>
      <c r="AS234" s="70"/>
      <c r="AT234" s="70"/>
      <c r="AU234" s="70">
        <f ca="1">MIN((1-G234),fw)</f>
        <v>0</v>
      </c>
      <c r="AV234" s="70">
        <f ca="1" t="shared" si="38"/>
        <v>0</v>
      </c>
      <c r="AW234" s="70">
        <f ca="1">MIN((TEW-Y234)/(TEW-REW),1)</f>
        <v>0.12727820001996</v>
      </c>
      <c r="AX234" s="70">
        <f ca="1">MIN((TEW-Z234)/(TEW-REW),1)</f>
        <v>0.12727820001996</v>
      </c>
      <c r="AY234" s="70">
        <f ca="1">IF((AU234*(TEW-Y234))&gt;0,1/(1+((AV234*(TEW-Z234))/(AU234*(TEW-Y234)))),0)</f>
        <v>0</v>
      </c>
      <c r="AZ234" s="70">
        <f ca="1">MIN((AY234*AW234*(Kcmax-H234)),AU234*Kcmax)</f>
        <v>0</v>
      </c>
      <c r="BA234" s="70">
        <f ca="1">MIN(((1-AY234)*AX234*(Kcmax-H234)),AV234*Kcmax)</f>
        <v>0</v>
      </c>
      <c r="BB234" s="70">
        <f ca="1" t="shared" si="39"/>
        <v>0</v>
      </c>
      <c r="BC234" s="70">
        <f ca="1">MIN((R234-AA234)/(R234*(1-(p+0.04*(5-I233)))),1)</f>
        <v>1</v>
      </c>
      <c r="BD234" s="10">
        <f ca="1" t="shared" si="40"/>
        <v>1.97694390110237</v>
      </c>
      <c r="BE234" s="70">
        <f ca="1">MIN(IF((1-AA234/R234)&gt;0,(1-Y234/TEW)/(1-AA234/R234)*(Ze/P234)^0.6,0),1)*BC234*H234*B234</f>
        <v>0.895740298167596</v>
      </c>
      <c r="BF234" s="70">
        <f ca="1">MIN(IF((1-AA234/R234)&gt;0,(1-Z234/TEW)/(1-AA234/R234)*(Ze/P234)^0.6,0),1)*BC234*H234*B234</f>
        <v>0.895740298167596</v>
      </c>
      <c r="BH234" s="10">
        <f ca="1" t="shared" si="41"/>
        <v>0.0433121441276504</v>
      </c>
      <c r="BI234" s="10">
        <f ca="1">IF(F234&lt;&gt;"",(Moy_Etobs-F234)^2,"")</f>
        <v>0.331991490540892</v>
      </c>
    </row>
    <row r="235" spans="1:61">
      <c r="A235" s="38">
        <v>39228</v>
      </c>
      <c r="B235" s="10">
        <v>0.929</v>
      </c>
      <c r="C235" s="39">
        <v>34.452</v>
      </c>
      <c r="D235">
        <v>0.802</v>
      </c>
      <c r="E235" s="39">
        <v>0</v>
      </c>
      <c r="F235"/>
      <c r="G235" s="10">
        <f ca="1">MIN(MAX(IF(AND(Durpla&gt;ROW()-MATCH(NDVImax,INDEX(D:D,Lig_min,1):INDEX(D:D,Lig_max,1),0)-Lig_min+1,ROW()-MATCH(NDVImax,INDEX(D:D,Lig_min,1):INDEX(D:D,Lig_max,1),0)-Lig_min+1&gt;0,D235*a_fc+b_fc&gt;fc_fin),NDVImax*a_fc+b_fc,D235*a_fc+b_fc),0),1)</f>
        <v>1</v>
      </c>
      <c r="H235" s="55">
        <f>MIN(MAX(D235*a_kcb+b_kcb,0),Kcmax)</f>
        <v>0.979994695820466</v>
      </c>
      <c r="I235" s="70">
        <f ca="1" t="shared" si="33"/>
        <v>0.910415072417213</v>
      </c>
      <c r="O235" s="55"/>
      <c r="P235" s="35">
        <f ca="1">IF(ROW()-MATCH(NDVImax,INDEX(D:D,Lig_min,1):INDEX(D:D,Lig_max,1),0)-Lig_min+1&gt;0,MAX(MIN(Zr_min+MAX(INDEX(G:G,Lig_min,1):INDEX(G:G,Lig_max,1))/MAX(MAX(INDEX(G:G,Lig_min,1):INDEX(G:G,Lig_max,1)),Max_fc_pour_Zrmax)*(Zr_max-Zr_min),Zr_max),Ze+0.001),MAX(MIN(Zr_min+G235/MAX(MAX(INDEX(G:G,Lig_min,1):INDEX(G:G,Lig_max,1)),Max_fc_pour_Zrmax)*(Zr_max-Zr_min),Zr_max),Ze+0.001))</f>
        <v>595.55606968994</v>
      </c>
      <c r="Q235" s="35">
        <f ca="1">IF(Z_sol&gt;0,Z_sol-P235,0.1)</f>
        <v>18.318481374494</v>
      </c>
      <c r="R235" s="35">
        <f ca="1">(Wfc-Wwp)*P235</f>
        <v>77.4222890596922</v>
      </c>
      <c r="S235" s="35">
        <f ca="1">(Wfc-Wwp)*Q235</f>
        <v>2.38140257868422</v>
      </c>
      <c r="T235" s="99">
        <f ca="1" t="shared" si="42"/>
        <v>0.895740342050014</v>
      </c>
      <c r="U235" s="99">
        <f ca="1" t="shared" si="43"/>
        <v>0.895740342050014</v>
      </c>
      <c r="V235" s="99">
        <f ca="1">IF(P235&gt;P234,IF(Q235&gt;1,MAX(AI234+(Wfc-Wwp)*(P235-P234)*AJ234/S234,0),AI234/P234*P235),MAX(AI234+(Wfc-Wwp)*(P235-P234)*AI234/R234,0))</f>
        <v>12.4307200516419</v>
      </c>
      <c r="W235" s="99">
        <f ca="1">IF(S235&gt;1,IF(P235&gt;P234,MAX(AJ234-(Wfc-Wwp)*(P235-P234)*AJ234/S234,0),MAX(AJ234-(Wfc-Wwp)*(P235-P234)*AI234/R234,0)),0)</f>
        <v>1.2615283790027e-6</v>
      </c>
      <c r="X235" s="99">
        <f ca="1">IF(AND(OR(AND(dec_vide_TAW&lt;0,V235&gt;R235*(p+0.04*(5-I234))),AND(dec_vide_TAW&gt;0,V235&gt;R235*dec_vide_TAW)),H235&gt;MAX(INDEX(H:H,Lig_min,1):INDEX(H:H,ROW(X235),1))*Kcbmax_stop_irrig*IF(ROW(X235)-lig_kcbmax&gt;0,1,0),MIN(INDEX(H:H,ROW(X235),1):INDEX(H:H,lig_kcbmax,1))&gt;Kcbmin_start_irrig),MIN(MAX(V235-E235*Irri_man-C235,0),Lame_max),0)</f>
        <v>0</v>
      </c>
      <c r="Y235" s="99">
        <f ca="1">MIN(MAX(T235-C235-IF(fw&gt;0,X235/fw*Irri_auto+E235/fw*Irri_man,0),0),TEW)</f>
        <v>0</v>
      </c>
      <c r="Z235" s="99">
        <f ca="1">MIN(MAX(U235-C235,0),TEW)</f>
        <v>0</v>
      </c>
      <c r="AA235" s="99">
        <f ca="1">MIN(MAX(V235-C235-(X235*Irri_auto+E235*Irri_man),0),R235)</f>
        <v>0</v>
      </c>
      <c r="AB235" s="99">
        <f ca="1">MIN(MAX(W235+MIN(V235-C235-(X235*Irri_auto+E235*Irri_man),0),0),S235)</f>
        <v>0</v>
      </c>
      <c r="AC235" s="99">
        <f ca="1">-MIN(W235+MIN(V235-C235-(X235*Irri_auto+E235*Irri_man),0),0)</f>
        <v>22.0212786868297</v>
      </c>
      <c r="AD235" s="39">
        <f ca="1">IF(((R235-AA235)/P235-((Wfc-Wwp)*Ze-Y235)/Ze)/Wfc*DiffE&lt;0,MAX(((R235-AA235)/P235-((Wfc-Wwp)*Ze-Y235)/Ze)/Wfc*DiffE,(R235*Ze-((Wfc-Wwp)*Ze-Y235-AA235)*P235)/(P235+Ze)-AA235),MIN(((R235-AA235)/P235-((Wfc-Wwp)*Ze-Y235)/Ze)/Wfc*DiffE,(R235*Ze-((Wfc-Wwp)*Ze-Y235-AA235)*P235)/(P235+Ze)-AA235))</f>
        <v>0</v>
      </c>
      <c r="AE235" s="39">
        <f ca="1">IF(((R235-AA235)/P235-((Wfc-Wwp)*Ze-Z235)/Ze)/Wfc*DiffE&lt;0,MAX(((R235-AA235)/P235-((Wfc-Wwp)*Ze-Z235)/Ze)/Wfc*DiffE,(R235*Ze-((Wfc-Wwp)*Ze-Z235-AA235)*P235)/(P235+Ze)-AA235),MIN(((R235-AA235)/P235-((Wfc-Wwp)*Ze-Z235)/Ze)/Wfc*DiffE,(R235*Ze-((Wfc-Wwp)*Ze-Z235-AA235)*P235)/(P235+Ze)-AA235))</f>
        <v>0</v>
      </c>
      <c r="AF235" s="39">
        <f ca="1">IF(((S235-AB235)/Q235-(R235-AA235)/P235)/Wfc*DiffR&lt;0,MAX(((S235-AB235)/Q235-(R235-AA235)/P235)/Wfc*DiffR,(S235*P235-(R235-AA235-AB235)*Q235)/(P235+Q235)-AB235),MIN(((S235-AB235)/Q235-(R235-AA235)/P235)/Wfc*DiffR,(S235*P235-(R235-AA235-AB235)*Q235)/(P235+Q235)-AB235))</f>
        <v>0</v>
      </c>
      <c r="AG235" s="99">
        <f ca="1">MIN(MAX(Y235+IF(AU235&gt;0,B235*AZ235/AU235,0)+BE235-AD235,0),TEW)</f>
        <v>0.356805757628486</v>
      </c>
      <c r="AH235" s="99">
        <f ca="1">MIN(MAX(Z235+IF(AV235&gt;0,B235*BA235/AV235,0)+BF235-AE235,0),TEW)</f>
        <v>0.356805757628486</v>
      </c>
      <c r="AI235" s="99">
        <f ca="1" t="shared" si="34"/>
        <v>0.910415072417213</v>
      </c>
      <c r="AJ235" s="99">
        <f ca="1" t="shared" si="35"/>
        <v>0</v>
      </c>
      <c r="AK235" s="70">
        <f ca="1">IF((AU235+AV235)&gt;0,(TEW-(AG235*AU235+AH235*AV235)/(AU235+AV235))/TEW,(TEW-(AG235+AH235)/2)/TEW)</f>
        <v>0.989228505430083</v>
      </c>
      <c r="AL235" s="70">
        <f ca="1" t="shared" si="36"/>
        <v>0.988240917654665</v>
      </c>
      <c r="AM235" s="70">
        <f ca="1" t="shared" si="37"/>
        <v>1</v>
      </c>
      <c r="AN235" s="70">
        <f ca="1">Wwp+(Wfc-Wwp)*IF((AU235+AV235)&gt;0,(TEW-(AG235*AU235+AH235*AV235)/(AU235+AV235))/TEW,(TEW-(AG235+AH235)/2)/TEW)</f>
        <v>0.398599705705911</v>
      </c>
      <c r="AO235" s="70">
        <f ca="1">Wwp+(Wfc-Wwp)*(R235-AI235)/R235</f>
        <v>0.398471319295107</v>
      </c>
      <c r="AP235" s="70">
        <f ca="1">Wwp+(Wfc-Wwp)*(S235-AJ235)/S235</f>
        <v>0.4</v>
      </c>
      <c r="AQ235" s="70"/>
      <c r="AR235" s="70"/>
      <c r="AS235" s="70"/>
      <c r="AT235" s="70"/>
      <c r="AU235" s="70">
        <f ca="1">MIN((1-G235),fw)</f>
        <v>0</v>
      </c>
      <c r="AV235" s="70">
        <f ca="1" t="shared" si="38"/>
        <v>0</v>
      </c>
      <c r="AW235" s="70">
        <f ca="1">MIN((TEW-Y235)/(TEW-REW),1)</f>
        <v>0.12727820001996</v>
      </c>
      <c r="AX235" s="70">
        <f ca="1">MIN((TEW-Z235)/(TEW-REW),1)</f>
        <v>0.12727820001996</v>
      </c>
      <c r="AY235" s="70">
        <f ca="1">IF((AU235*(TEW-Y235))&gt;0,1/(1+((AV235*(TEW-Z235))/(AU235*(TEW-Y235)))),0)</f>
        <v>0</v>
      </c>
      <c r="AZ235" s="70">
        <f ca="1">MIN((AY235*AW235*(Kcmax-H235)),AU235*Kcmax)</f>
        <v>0</v>
      </c>
      <c r="BA235" s="70">
        <f ca="1">MIN(((1-AY235)*AX235*(Kcmax-H235)),AV235*Kcmax)</f>
        <v>0</v>
      </c>
      <c r="BB235" s="70">
        <f ca="1" t="shared" si="39"/>
        <v>0</v>
      </c>
      <c r="BC235" s="70">
        <f ca="1">MIN((R235-AA235)/(R235*(1-(p+0.04*(5-I234)))),1)</f>
        <v>1</v>
      </c>
      <c r="BD235" s="10">
        <f ca="1" t="shared" si="40"/>
        <v>0.910415072417213</v>
      </c>
      <c r="BE235" s="70">
        <f ca="1">MIN(IF((1-AA235/R235)&gt;0,(1-Y235/TEW)/(1-AA235/R235)*(Ze/P235)^0.6,0),1)*BC235*H235*B235</f>
        <v>0.356805757628486</v>
      </c>
      <c r="BF235" s="70">
        <f ca="1">MIN(IF((1-AA235/R235)&gt;0,(1-Z235/TEW)/(1-AA235/R235)*(Ze/P235)^0.6,0),1)*BC235*H235*B235</f>
        <v>0.356805757628486</v>
      </c>
      <c r="BH235" s="10" t="str">
        <f ca="1" t="shared" si="41"/>
        <v/>
      </c>
      <c r="BI235" s="10" t="str">
        <f ca="1">IF(F235&lt;&gt;"",(Moy_Etobs-F235)^2,"")</f>
        <v/>
      </c>
    </row>
    <row r="236" spans="1:61">
      <c r="A236" s="38">
        <v>39229</v>
      </c>
      <c r="B236" s="10">
        <v>3.308</v>
      </c>
      <c r="C236" s="39">
        <v>5.148</v>
      </c>
      <c r="D236">
        <v>0.798</v>
      </c>
      <c r="E236" s="39">
        <v>0</v>
      </c>
      <c r="F236" s="10">
        <v>3.9518352</v>
      </c>
      <c r="G236" s="10">
        <f ca="1">MIN(MAX(IF(AND(Durpla&gt;ROW()-MATCH(NDVImax,INDEX(D:D,Lig_min,1):INDEX(D:D,Lig_max,1),0)-Lig_min+1,ROW()-MATCH(NDVImax,INDEX(D:D,Lig_min,1):INDEX(D:D,Lig_max,1),0)-Lig_min+1&gt;0,D236*a_fc+b_fc&gt;fc_fin),NDVImax*a_fc+b_fc,D236*a_fc+b_fc),0),1)</f>
        <v>1</v>
      </c>
      <c r="H236" s="55">
        <f>MIN(MAX(D236*a_kcb+b_kcb,0),Kcmax)</f>
        <v>0.973982458422795</v>
      </c>
      <c r="I236" s="70">
        <f ca="1" t="shared" si="33"/>
        <v>3.2219339724626</v>
      </c>
      <c r="O236" s="55"/>
      <c r="P236" s="35">
        <f ca="1">IF(ROW()-MATCH(NDVImax,INDEX(D:D,Lig_min,1):INDEX(D:D,Lig_max,1),0)-Lig_min+1&gt;0,MAX(MIN(Zr_min+MAX(INDEX(G:G,Lig_min,1):INDEX(G:G,Lig_max,1))/MAX(MAX(INDEX(G:G,Lig_min,1):INDEX(G:G,Lig_max,1)),Max_fc_pour_Zrmax)*(Zr_max-Zr_min),Zr_max),Ze+0.001),MAX(MIN(Zr_min+G236/MAX(MAX(INDEX(G:G,Lig_min,1):INDEX(G:G,Lig_max,1)),Max_fc_pour_Zrmax)*(Zr_max-Zr_min),Zr_max),Ze+0.001))</f>
        <v>595.55606968994</v>
      </c>
      <c r="Q236" s="35">
        <f ca="1">IF(Z_sol&gt;0,Z_sol-P236,0.1)</f>
        <v>18.318481374494</v>
      </c>
      <c r="R236" s="35">
        <f ca="1">(Wfc-Wwp)*P236</f>
        <v>77.4222890596922</v>
      </c>
      <c r="S236" s="35">
        <f ca="1">(Wfc-Wwp)*Q236</f>
        <v>2.38140257868422</v>
      </c>
      <c r="T236" s="99">
        <f ca="1" t="shared" si="42"/>
        <v>0.356805757628486</v>
      </c>
      <c r="U236" s="99">
        <f ca="1" t="shared" si="43"/>
        <v>0.356805757628486</v>
      </c>
      <c r="V236" s="99">
        <f ca="1">IF(P236&gt;P235,IF(Q236&gt;1,MAX(AI235+(Wfc-Wwp)*(P236-P235)*AJ235/S235,0),AI235/P235*P236),MAX(AI235+(Wfc-Wwp)*(P236-P235)*AI235/R235,0))</f>
        <v>0.910415072417213</v>
      </c>
      <c r="W236" s="99">
        <f ca="1">IF(S236&gt;1,IF(P236&gt;P235,MAX(AJ235-(Wfc-Wwp)*(P236-P235)*AJ235/S235,0),MAX(AJ235-(Wfc-Wwp)*(P236-P235)*AI235/R235,0)),0)</f>
        <v>0</v>
      </c>
      <c r="X236" s="99">
        <f ca="1">IF(AND(OR(AND(dec_vide_TAW&lt;0,V236&gt;R236*(p+0.04*(5-I235))),AND(dec_vide_TAW&gt;0,V236&gt;R236*dec_vide_TAW)),H236&gt;MAX(INDEX(H:H,Lig_min,1):INDEX(H:H,ROW(X236),1))*Kcbmax_stop_irrig*IF(ROW(X236)-lig_kcbmax&gt;0,1,0),MIN(INDEX(H:H,ROW(X236),1):INDEX(H:H,lig_kcbmax,1))&gt;Kcbmin_start_irrig),MIN(MAX(V236-E236*Irri_man-C236,0),Lame_max),0)</f>
        <v>0</v>
      </c>
      <c r="Y236" s="99">
        <f ca="1">MIN(MAX(T236-C236-IF(fw&gt;0,X236/fw*Irri_auto+E236/fw*Irri_man,0),0),TEW)</f>
        <v>0</v>
      </c>
      <c r="Z236" s="99">
        <f ca="1">MIN(MAX(U236-C236,0),TEW)</f>
        <v>0</v>
      </c>
      <c r="AA236" s="99">
        <f ca="1">MIN(MAX(V236-C236-(X236*Irri_auto+E236*Irri_man),0),R236)</f>
        <v>0</v>
      </c>
      <c r="AB236" s="99">
        <f ca="1">MIN(MAX(W236+MIN(V236-C236-(X236*Irri_auto+E236*Irri_man),0),0),S236)</f>
        <v>0</v>
      </c>
      <c r="AC236" s="99">
        <f ca="1">-MIN(W236+MIN(V236-C236-(X236*Irri_auto+E236*Irri_man),0),0)</f>
        <v>4.23758492758279</v>
      </c>
      <c r="AD236" s="39">
        <f ca="1">IF(((R236-AA236)/P236-((Wfc-Wwp)*Ze-Y236)/Ze)/Wfc*DiffE&lt;0,MAX(((R236-AA236)/P236-((Wfc-Wwp)*Ze-Y236)/Ze)/Wfc*DiffE,(R236*Ze-((Wfc-Wwp)*Ze-Y236-AA236)*P236)/(P236+Ze)-AA236),MIN(((R236-AA236)/P236-((Wfc-Wwp)*Ze-Y236)/Ze)/Wfc*DiffE,(R236*Ze-((Wfc-Wwp)*Ze-Y236-AA236)*P236)/(P236+Ze)-AA236))</f>
        <v>0</v>
      </c>
      <c r="AE236" s="39">
        <f ca="1">IF(((R236-AA236)/P236-((Wfc-Wwp)*Ze-Z236)/Ze)/Wfc*DiffE&lt;0,MAX(((R236-AA236)/P236-((Wfc-Wwp)*Ze-Z236)/Ze)/Wfc*DiffE,(R236*Ze-((Wfc-Wwp)*Ze-Z236-AA236)*P236)/(P236+Ze)-AA236),MIN(((R236-AA236)/P236-((Wfc-Wwp)*Ze-Z236)/Ze)/Wfc*DiffE,(R236*Ze-((Wfc-Wwp)*Ze-Z236-AA236)*P236)/(P236+Ze)-AA236))</f>
        <v>0</v>
      </c>
      <c r="AF236" s="39">
        <f ca="1">IF(((S236-AB236)/Q236-(R236-AA236)/P236)/Wfc*DiffR&lt;0,MAX(((S236-AB236)/Q236-(R236-AA236)/P236)/Wfc*DiffR,(S236*P236-(R236-AA236-AB236)*Q236)/(P236+Q236)-AB236),MIN(((S236-AB236)/Q236-(R236-AA236)/P236)/Wfc*DiffR,(S236*P236-(R236-AA236-AB236)*Q236)/(P236+Q236)-AB236))</f>
        <v>0</v>
      </c>
      <c r="AG236" s="99">
        <f ca="1">MIN(MAX(Y236+IF(AU236&gt;0,B236*AZ236/AU236,0)+BE236-AD236,0),TEW)</f>
        <v>1.26272579057946</v>
      </c>
      <c r="AH236" s="99">
        <f ca="1">MIN(MAX(Z236+IF(AV236&gt;0,B236*BA236/AV236,0)+BF236-AE236,0),TEW)</f>
        <v>1.26272579057946</v>
      </c>
      <c r="AI236" s="99">
        <f ca="1" t="shared" si="34"/>
        <v>3.2219339724626</v>
      </c>
      <c r="AJ236" s="99">
        <f ca="1" t="shared" si="35"/>
        <v>0</v>
      </c>
      <c r="AK236" s="70">
        <f ca="1">IF((AU236+AV236)&gt;0,(TEW-(AG236*AU236+AH236*AV236)/(AU236+AV236))/TEW,(TEW-(AG236+AH236)/2)/TEW)</f>
        <v>0.96187997613345</v>
      </c>
      <c r="AL236" s="70">
        <f ca="1" t="shared" si="36"/>
        <v>0.958384930081588</v>
      </c>
      <c r="AM236" s="70">
        <f ca="1" t="shared" si="37"/>
        <v>1</v>
      </c>
      <c r="AN236" s="70">
        <f ca="1">Wwp+(Wfc-Wwp)*IF((AU236+AV236)&gt;0,(TEW-(AG236*AU236+AH236*AV236)/(AU236+AV236))/TEW,(TEW-(AG236+AH236)/2)/TEW)</f>
        <v>0.395044396897349</v>
      </c>
      <c r="AO236" s="70">
        <f ca="1">Wwp+(Wfc-Wwp)*(R236-AI236)/R236</f>
        <v>0.394590040910606</v>
      </c>
      <c r="AP236" s="70">
        <f ca="1">Wwp+(Wfc-Wwp)*(S236-AJ236)/S236</f>
        <v>0.4</v>
      </c>
      <c r="AQ236" s="70"/>
      <c r="AR236" s="70"/>
      <c r="AS236" s="70"/>
      <c r="AT236" s="70"/>
      <c r="AU236" s="70">
        <f ca="1">MIN((1-G236),fw)</f>
        <v>0</v>
      </c>
      <c r="AV236" s="70">
        <f ca="1" t="shared" si="38"/>
        <v>0</v>
      </c>
      <c r="AW236" s="70">
        <f ca="1">MIN((TEW-Y236)/(TEW-REW),1)</f>
        <v>0.12727820001996</v>
      </c>
      <c r="AX236" s="70">
        <f ca="1">MIN((TEW-Z236)/(TEW-REW),1)</f>
        <v>0.12727820001996</v>
      </c>
      <c r="AY236" s="70">
        <f ca="1">IF((AU236*(TEW-Y236))&gt;0,1/(1+((AV236*(TEW-Z236))/(AU236*(TEW-Y236)))),0)</f>
        <v>0</v>
      </c>
      <c r="AZ236" s="70">
        <f ca="1">MIN((AY236*AW236*(Kcmax-H236)),AU236*Kcmax)</f>
        <v>0</v>
      </c>
      <c r="BA236" s="70">
        <f ca="1">MIN(((1-AY236)*AX236*(Kcmax-H236)),AV236*Kcmax)</f>
        <v>0</v>
      </c>
      <c r="BB236" s="70">
        <f ca="1" t="shared" si="39"/>
        <v>0</v>
      </c>
      <c r="BC236" s="70">
        <f ca="1">MIN((R236-AA236)/(R236*(1-(p+0.04*(5-I235)))),1)</f>
        <v>1</v>
      </c>
      <c r="BD236" s="10">
        <f ca="1" t="shared" si="40"/>
        <v>3.2219339724626</v>
      </c>
      <c r="BE236" s="70">
        <f ca="1">MIN(IF((1-AA236/R236)&gt;0,(1-Y236/TEW)/(1-AA236/R236)*(Ze/P236)^0.6,0),1)*BC236*H236*B236</f>
        <v>1.26272579057946</v>
      </c>
      <c r="BF236" s="70">
        <f ca="1">MIN(IF((1-AA236/R236)&gt;0,(1-Z236/TEW)/(1-AA236/R236)*(Ze/P236)^0.6,0),1)*BC236*H236*B236</f>
        <v>1.26272579057946</v>
      </c>
      <c r="BH236" s="10">
        <f ca="1" t="shared" si="41"/>
        <v>0.532755801960596</v>
      </c>
      <c r="BI236" s="10">
        <f ca="1">IF(F236&lt;&gt;"",(Moy_Etobs-F236)^2,"")</f>
        <v>5.48947387338028</v>
      </c>
    </row>
    <row r="237" spans="1:61">
      <c r="A237" s="38">
        <v>39230</v>
      </c>
      <c r="B237" s="10">
        <v>2.151</v>
      </c>
      <c r="C237" s="39">
        <v>11.682</v>
      </c>
      <c r="D237">
        <v>0.795</v>
      </c>
      <c r="E237" s="39">
        <v>0</v>
      </c>
      <c r="F237"/>
      <c r="G237" s="10">
        <f ca="1">MIN(MAX(IF(AND(Durpla&gt;ROW()-MATCH(NDVImax,INDEX(D:D,Lig_min,1):INDEX(D:D,Lig_max,1),0)-Lig_min+1,ROW()-MATCH(NDVImax,INDEX(D:D,Lig_min,1):INDEX(D:D,Lig_max,1),0)-Lig_min+1&gt;0,D237*a_fc+b_fc&gt;fc_fin),NDVImax*a_fc+b_fc,D237*a_fc+b_fc),0),1)</f>
        <v>1</v>
      </c>
      <c r="H237" s="55">
        <f>MIN(MAX(D237*a_kcb+b_kcb,0),Kcmax)</f>
        <v>0.969473280374541</v>
      </c>
      <c r="I237" s="70">
        <f ca="1" t="shared" si="33"/>
        <v>2.08533702608564</v>
      </c>
      <c r="O237" s="55"/>
      <c r="P237" s="35">
        <f ca="1">IF(ROW()-MATCH(NDVImax,INDEX(D:D,Lig_min,1):INDEX(D:D,Lig_max,1),0)-Lig_min+1&gt;0,MAX(MIN(Zr_min+MAX(INDEX(G:G,Lig_min,1):INDEX(G:G,Lig_max,1))/MAX(MAX(INDEX(G:G,Lig_min,1):INDEX(G:G,Lig_max,1)),Max_fc_pour_Zrmax)*(Zr_max-Zr_min),Zr_max),Ze+0.001),MAX(MIN(Zr_min+G237/MAX(MAX(INDEX(G:G,Lig_min,1):INDEX(G:G,Lig_max,1)),Max_fc_pour_Zrmax)*(Zr_max-Zr_min),Zr_max),Ze+0.001))</f>
        <v>595.55606968994</v>
      </c>
      <c r="Q237" s="35">
        <f ca="1">IF(Z_sol&gt;0,Z_sol-P237,0.1)</f>
        <v>18.318481374494</v>
      </c>
      <c r="R237" s="35">
        <f ca="1">(Wfc-Wwp)*P237</f>
        <v>77.4222890596922</v>
      </c>
      <c r="S237" s="35">
        <f ca="1">(Wfc-Wwp)*Q237</f>
        <v>2.38140257868422</v>
      </c>
      <c r="T237" s="99">
        <f ca="1" t="shared" si="42"/>
        <v>1.26272579057946</v>
      </c>
      <c r="U237" s="99">
        <f ca="1" t="shared" si="43"/>
        <v>1.26272579057946</v>
      </c>
      <c r="V237" s="99">
        <f ca="1">IF(P237&gt;P236,IF(Q237&gt;1,MAX(AI236+(Wfc-Wwp)*(P237-P236)*AJ236/S236,0),AI236/P236*P237),MAX(AI236+(Wfc-Wwp)*(P237-P236)*AI236/R236,0))</f>
        <v>3.2219339724626</v>
      </c>
      <c r="W237" s="99">
        <f ca="1">IF(S237&gt;1,IF(P237&gt;P236,MAX(AJ236-(Wfc-Wwp)*(P237-P236)*AJ236/S236,0),MAX(AJ236-(Wfc-Wwp)*(P237-P236)*AI236/R236,0)),0)</f>
        <v>0</v>
      </c>
      <c r="X237" s="99">
        <f ca="1">IF(AND(OR(AND(dec_vide_TAW&lt;0,V237&gt;R237*(p+0.04*(5-I236))),AND(dec_vide_TAW&gt;0,V237&gt;R237*dec_vide_TAW)),H237&gt;MAX(INDEX(H:H,Lig_min,1):INDEX(H:H,ROW(X237),1))*Kcbmax_stop_irrig*IF(ROW(X237)-lig_kcbmax&gt;0,1,0),MIN(INDEX(H:H,ROW(X237),1):INDEX(H:H,lig_kcbmax,1))&gt;Kcbmin_start_irrig),MIN(MAX(V237-E237*Irri_man-C237,0),Lame_max),0)</f>
        <v>0</v>
      </c>
      <c r="Y237" s="99">
        <f ca="1">MIN(MAX(T237-C237-IF(fw&gt;0,X237/fw*Irri_auto+E237/fw*Irri_man,0),0),TEW)</f>
        <v>0</v>
      </c>
      <c r="Z237" s="99">
        <f ca="1">MIN(MAX(U237-C237,0),TEW)</f>
        <v>0</v>
      </c>
      <c r="AA237" s="99">
        <f ca="1">MIN(MAX(V237-C237-(X237*Irri_auto+E237*Irri_man),0),R237)</f>
        <v>0</v>
      </c>
      <c r="AB237" s="99">
        <f ca="1">MIN(MAX(W237+MIN(V237-C237-(X237*Irri_auto+E237*Irri_man),0),0),S237)</f>
        <v>0</v>
      </c>
      <c r="AC237" s="99">
        <f ca="1">-MIN(W237+MIN(V237-C237-(X237*Irri_auto+E237*Irri_man),0),0)</f>
        <v>8.4600660275374</v>
      </c>
      <c r="AD237" s="39">
        <f ca="1">IF(((R237-AA237)/P237-((Wfc-Wwp)*Ze-Y237)/Ze)/Wfc*DiffE&lt;0,MAX(((R237-AA237)/P237-((Wfc-Wwp)*Ze-Y237)/Ze)/Wfc*DiffE,(R237*Ze-((Wfc-Wwp)*Ze-Y237-AA237)*P237)/(P237+Ze)-AA237),MIN(((R237-AA237)/P237-((Wfc-Wwp)*Ze-Y237)/Ze)/Wfc*DiffE,(R237*Ze-((Wfc-Wwp)*Ze-Y237-AA237)*P237)/(P237+Ze)-AA237))</f>
        <v>0</v>
      </c>
      <c r="AE237" s="39">
        <f ca="1">IF(((R237-AA237)/P237-((Wfc-Wwp)*Ze-Z237)/Ze)/Wfc*DiffE&lt;0,MAX(((R237-AA237)/P237-((Wfc-Wwp)*Ze-Z237)/Ze)/Wfc*DiffE,(R237*Ze-((Wfc-Wwp)*Ze-Z237-AA237)*P237)/(P237+Ze)-AA237),MIN(((R237-AA237)/P237-((Wfc-Wwp)*Ze-Z237)/Ze)/Wfc*DiffE,(R237*Ze-((Wfc-Wwp)*Ze-Z237-AA237)*P237)/(P237+Ze)-AA237))</f>
        <v>0</v>
      </c>
      <c r="AF237" s="39">
        <f ca="1">IF(((S237-AB237)/Q237-(R237-AA237)/P237)/Wfc*DiffR&lt;0,MAX(((S237-AB237)/Q237-(R237-AA237)/P237)/Wfc*DiffR,(S237*P237-(R237-AA237-AB237)*Q237)/(P237+Q237)-AB237),MIN(((S237-AB237)/Q237-(R237-AA237)/P237)/Wfc*DiffR,(S237*P237-(R237-AA237-AB237)*Q237)/(P237+Q237)-AB237))</f>
        <v>0</v>
      </c>
      <c r="AG237" s="99">
        <f ca="1">MIN(MAX(Y237+IF(AU237&gt;0,B237*AZ237/AU237,0)+BE237-AD237,0),TEW)</f>
        <v>0.81727585586615</v>
      </c>
      <c r="AH237" s="99">
        <f ca="1">MIN(MAX(Z237+IF(AV237&gt;0,B237*BA237/AV237,0)+BF237-AE237,0),TEW)</f>
        <v>0.81727585586615</v>
      </c>
      <c r="AI237" s="99">
        <f ca="1" t="shared" si="34"/>
        <v>2.08533702608564</v>
      </c>
      <c r="AJ237" s="99">
        <f ca="1" t="shared" si="35"/>
        <v>0</v>
      </c>
      <c r="AK237" s="70">
        <f ca="1">IF((AU237+AV237)&gt;0,(TEW-(AG237*AU237+AH237*AV237)/(AU237+AV237))/TEW,(TEW-(AG237+AH237)/2)/TEW)</f>
        <v>0.975327521332343</v>
      </c>
      <c r="AL237" s="70">
        <f ca="1" t="shared" si="36"/>
        <v>0.973065417576612</v>
      </c>
      <c r="AM237" s="70">
        <f ca="1" t="shared" si="37"/>
        <v>1</v>
      </c>
      <c r="AN237" s="70">
        <f ca="1">Wwp+(Wfc-Wwp)*IF((AU237+AV237)&gt;0,(TEW-(AG237*AU237+AH237*AV237)/(AU237+AV237))/TEW,(TEW-(AG237+AH237)/2)/TEW)</f>
        <v>0.396792577773205</v>
      </c>
      <c r="AO237" s="70">
        <f ca="1">Wwp+(Wfc-Wwp)*(R237-AI237)/R237</f>
        <v>0.39649850428496</v>
      </c>
      <c r="AP237" s="70">
        <f ca="1">Wwp+(Wfc-Wwp)*(S237-AJ237)/S237</f>
        <v>0.4</v>
      </c>
      <c r="AQ237" s="70"/>
      <c r="AR237" s="70"/>
      <c r="AS237" s="70"/>
      <c r="AT237" s="70"/>
      <c r="AU237" s="70">
        <f ca="1">MIN((1-G237),fw)</f>
        <v>0</v>
      </c>
      <c r="AV237" s="70">
        <f ca="1" t="shared" si="38"/>
        <v>0</v>
      </c>
      <c r="AW237" s="70">
        <f ca="1">MIN((TEW-Y237)/(TEW-REW),1)</f>
        <v>0.12727820001996</v>
      </c>
      <c r="AX237" s="70">
        <f ca="1">MIN((TEW-Z237)/(TEW-REW),1)</f>
        <v>0.12727820001996</v>
      </c>
      <c r="AY237" s="70">
        <f ca="1">IF((AU237*(TEW-Y237))&gt;0,1/(1+((AV237*(TEW-Z237))/(AU237*(TEW-Y237)))),0)</f>
        <v>0</v>
      </c>
      <c r="AZ237" s="70">
        <f ca="1">MIN((AY237*AW237*(Kcmax-H237)),AU237*Kcmax)</f>
        <v>0</v>
      </c>
      <c r="BA237" s="70">
        <f ca="1">MIN(((1-AY237)*AX237*(Kcmax-H237)),AV237*Kcmax)</f>
        <v>0</v>
      </c>
      <c r="BB237" s="70">
        <f ca="1" t="shared" si="39"/>
        <v>0</v>
      </c>
      <c r="BC237" s="70">
        <f ca="1">MIN((R237-AA237)/(R237*(1-(p+0.04*(5-I236)))),1)</f>
        <v>1</v>
      </c>
      <c r="BD237" s="10">
        <f ca="1" t="shared" si="40"/>
        <v>2.08533702608564</v>
      </c>
      <c r="BE237" s="70">
        <f ca="1">MIN(IF((1-AA237/R237)&gt;0,(1-Y237/TEW)/(1-AA237/R237)*(Ze/P237)^0.6,0),1)*BC237*H237*B237</f>
        <v>0.81727585586615</v>
      </c>
      <c r="BF237" s="70">
        <f ca="1">MIN(IF((1-AA237/R237)&gt;0,(1-Z237/TEW)/(1-AA237/R237)*(Ze/P237)^0.6,0),1)*BC237*H237*B237</f>
        <v>0.81727585586615</v>
      </c>
      <c r="BH237" s="10" t="str">
        <f ca="1" t="shared" si="41"/>
        <v/>
      </c>
      <c r="BI237" s="10" t="str">
        <f ca="1">IF(F237&lt;&gt;"",(Moy_Etobs-F237)^2,"")</f>
        <v/>
      </c>
    </row>
    <row r="238" spans="1:61">
      <c r="A238" s="38">
        <v>39231</v>
      </c>
      <c r="B238" s="10">
        <v>2.602</v>
      </c>
      <c r="C238" s="39">
        <v>0</v>
      </c>
      <c r="D238">
        <v>0.791</v>
      </c>
      <c r="E238" s="39">
        <v>0</v>
      </c>
      <c r="F238" s="10">
        <v>3.137904</v>
      </c>
      <c r="G238" s="10">
        <f ca="1">MIN(MAX(IF(AND(Durpla&gt;ROW()-MATCH(NDVImax,INDEX(D:D,Lig_min,1):INDEX(D:D,Lig_max,1),0)-Lig_min+1,ROW()-MATCH(NDVImax,INDEX(D:D,Lig_min,1):INDEX(D:D,Lig_max,1),0)-Lig_min+1&gt;0,D238*a_fc+b_fc&gt;fc_fin),NDVImax*a_fc+b_fc,D238*a_fc+b_fc),0),1)</f>
        <v>1</v>
      </c>
      <c r="H238" s="55">
        <f>MIN(MAX(D238*a_kcb+b_kcb,0),Kcmax)</f>
        <v>0.96346104297687</v>
      </c>
      <c r="I238" s="70">
        <f ca="1" t="shared" si="33"/>
        <v>2.50692563382581</v>
      </c>
      <c r="O238" s="55"/>
      <c r="P238" s="35">
        <f ca="1">IF(ROW()-MATCH(NDVImax,INDEX(D:D,Lig_min,1):INDEX(D:D,Lig_max,1),0)-Lig_min+1&gt;0,MAX(MIN(Zr_min+MAX(INDEX(G:G,Lig_min,1):INDEX(G:G,Lig_max,1))/MAX(MAX(INDEX(G:G,Lig_min,1):INDEX(G:G,Lig_max,1)),Max_fc_pour_Zrmax)*(Zr_max-Zr_min),Zr_max),Ze+0.001),MAX(MIN(Zr_min+G238/MAX(MAX(INDEX(G:G,Lig_min,1):INDEX(G:G,Lig_max,1)),Max_fc_pour_Zrmax)*(Zr_max-Zr_min),Zr_max),Ze+0.001))</f>
        <v>595.55606968994</v>
      </c>
      <c r="Q238" s="35">
        <f ca="1">IF(Z_sol&gt;0,Z_sol-P238,0.1)</f>
        <v>18.318481374494</v>
      </c>
      <c r="R238" s="35">
        <f ca="1">(Wfc-Wwp)*P238</f>
        <v>77.4222890596922</v>
      </c>
      <c r="S238" s="35">
        <f ca="1">(Wfc-Wwp)*Q238</f>
        <v>2.38140257868422</v>
      </c>
      <c r="T238" s="99">
        <f ca="1" t="shared" si="42"/>
        <v>0.81727585586615</v>
      </c>
      <c r="U238" s="99">
        <f ca="1" t="shared" si="43"/>
        <v>0.81727585586615</v>
      </c>
      <c r="V238" s="99">
        <f ca="1">IF(P238&gt;P237,IF(Q238&gt;1,MAX(AI237+(Wfc-Wwp)*(P238-P237)*AJ237/S237,0),AI237/P237*P238),MAX(AI237+(Wfc-Wwp)*(P238-P237)*AI237/R237,0))</f>
        <v>2.08533702608564</v>
      </c>
      <c r="W238" s="99">
        <f ca="1">IF(S238&gt;1,IF(P238&gt;P237,MAX(AJ237-(Wfc-Wwp)*(P238-P237)*AJ237/S237,0),MAX(AJ237-(Wfc-Wwp)*(P238-P237)*AI237/R237,0)),0)</f>
        <v>0</v>
      </c>
      <c r="X238" s="99">
        <f ca="1">IF(AND(OR(AND(dec_vide_TAW&lt;0,V238&gt;R238*(p+0.04*(5-I237))),AND(dec_vide_TAW&gt;0,V238&gt;R238*dec_vide_TAW)),H238&gt;MAX(INDEX(H:H,Lig_min,1):INDEX(H:H,ROW(X238),1))*Kcbmax_stop_irrig*IF(ROW(X238)-lig_kcbmax&gt;0,1,0),MIN(INDEX(H:H,ROW(X238),1):INDEX(H:H,lig_kcbmax,1))&gt;Kcbmin_start_irrig),MIN(MAX(V238-E238*Irri_man-C238,0),Lame_max),0)</f>
        <v>0</v>
      </c>
      <c r="Y238" s="99">
        <f ca="1">MIN(MAX(T238-C238-IF(fw&gt;0,X238/fw*Irri_auto+E238/fw*Irri_man,0),0),TEW)</f>
        <v>0.81727585586615</v>
      </c>
      <c r="Z238" s="99">
        <f ca="1">MIN(MAX(U238-C238,0),TEW)</f>
        <v>0.81727585586615</v>
      </c>
      <c r="AA238" s="99">
        <f ca="1">MIN(MAX(V238-C238-(X238*Irri_auto+E238*Irri_man),0),R238)</f>
        <v>2.08533702608564</v>
      </c>
      <c r="AB238" s="99">
        <f ca="1">MIN(MAX(W238+MIN(V238-C238-(X238*Irri_auto+E238*Irri_man),0),0),S238)</f>
        <v>0</v>
      </c>
      <c r="AC238" s="99">
        <f ca="1">-MIN(W238+MIN(V238-C238-(X238*Irri_auto+E238*Irri_man),0),0)</f>
        <v>0</v>
      </c>
      <c r="AD238" s="39">
        <f ca="1">IF(((R238-AA238)/P238-((Wfc-Wwp)*Ze-Y238)/Ze)/Wfc*DiffE&lt;0,MAX(((R238-AA238)/P238-((Wfc-Wwp)*Ze-Y238)/Ze)/Wfc*DiffE,(R238*Ze-((Wfc-Wwp)*Ze-Y238-AA238)*P238)/(P238+Ze)-AA238),MIN(((R238-AA238)/P238-((Wfc-Wwp)*Ze-Y238)/Ze)/Wfc*DiffE,(R238*Ze-((Wfc-Wwp)*Ze-Y238-AA238)*P238)/(P238+Ze)-AA238))</f>
        <v>7.5917778297219e-9</v>
      </c>
      <c r="AE238" s="39">
        <f ca="1">IF(((R238-AA238)/P238-((Wfc-Wwp)*Ze-Z238)/Ze)/Wfc*DiffE&lt;0,MAX(((R238-AA238)/P238-((Wfc-Wwp)*Ze-Z238)/Ze)/Wfc*DiffE,(R238*Ze-((Wfc-Wwp)*Ze-Z238-AA238)*P238)/(P238+Ze)-AA238),MIN(((R238-AA238)/P238-((Wfc-Wwp)*Ze-Z238)/Ze)/Wfc*DiffE,(R238*Ze-((Wfc-Wwp)*Ze-Z238-AA238)*P238)/(P238+Ze)-AA238))</f>
        <v>7.5917778297219e-9</v>
      </c>
      <c r="AF238" s="39">
        <f ca="1">IF(((S238-AB238)/Q238-(R238-AA238)/P238)/Wfc*DiffR&lt;0,MAX(((S238-AB238)/Q238-(R238-AA238)/P238)/Wfc*DiffR,(S238*P238-(R238-AA238-AB238)*Q238)/(P238+Q238)-AB238),MIN(((S238-AB238)/Q238-(R238-AA238)/P238)/Wfc*DiffR,(S238*P238-(R238-AA238-AB238)*Q238)/(P238+Q238)-AB238))</f>
        <v>8.75373928760109e-9</v>
      </c>
      <c r="AG238" s="99">
        <f ca="1">MIN(MAX(Y238+IF(AU238&gt;0,B238*AZ238/AU238,0)+BE238-AD238,0),TEW)</f>
        <v>1.80206284794061</v>
      </c>
      <c r="AH238" s="99">
        <f ca="1">MIN(MAX(Z238+IF(AV238&gt;0,B238*BA238/AV238,0)+BF238-AE238,0),TEW)</f>
        <v>1.80206284794061</v>
      </c>
      <c r="AI238" s="99">
        <f ca="1" t="shared" si="34"/>
        <v>4.59226265115771</v>
      </c>
      <c r="AJ238" s="99">
        <f ca="1" t="shared" si="35"/>
        <v>8.75373928760109e-9</v>
      </c>
      <c r="AK238" s="70">
        <f ca="1">IF((AU238+AV238)&gt;0,(TEW-(AG238*AU238+AH238*AV238)/(AU238+AV238))/TEW,(TEW-(AG238+AH238)/2)/TEW)</f>
        <v>0.94559810270368</v>
      </c>
      <c r="AL238" s="70">
        <f ca="1" t="shared" si="36"/>
        <v>0.940685522128943</v>
      </c>
      <c r="AM238" s="70">
        <f ca="1" t="shared" si="37"/>
        <v>0.999999996324125</v>
      </c>
      <c r="AN238" s="70">
        <f ca="1">Wwp+(Wfc-Wwp)*IF((AU238+AV238)&gt;0,(TEW-(AG238*AU238+AH238*AV238)/(AU238+AV238))/TEW,(TEW-(AG238+AH238)/2)/TEW)</f>
        <v>0.392927753351478</v>
      </c>
      <c r="AO238" s="70">
        <f ca="1">Wwp+(Wfc-Wwp)*(R238-AI238)/R238</f>
        <v>0.392289117876763</v>
      </c>
      <c r="AP238" s="70">
        <f ca="1">Wwp+(Wfc-Wwp)*(S238-AJ238)/S238</f>
        <v>0.399999999522136</v>
      </c>
      <c r="AQ238" s="70"/>
      <c r="AR238" s="70"/>
      <c r="AS238" s="70"/>
      <c r="AT238" s="70"/>
      <c r="AU238" s="70">
        <f ca="1">MIN((1-G238),fw)</f>
        <v>0</v>
      </c>
      <c r="AV238" s="70">
        <f ca="1" t="shared" si="38"/>
        <v>0</v>
      </c>
      <c r="AW238" s="70">
        <f ca="1">MIN((TEW-Y238)/(TEW-REW),1)</f>
        <v>0.12413793134511</v>
      </c>
      <c r="AX238" s="70">
        <f ca="1">MIN((TEW-Z238)/(TEW-REW),1)</f>
        <v>0.12413793134511</v>
      </c>
      <c r="AY238" s="70">
        <f ca="1">IF((AU238*(TEW-Y238))&gt;0,1/(1+((AV238*(TEW-Z238))/(AU238*(TEW-Y238)))),0)</f>
        <v>0</v>
      </c>
      <c r="AZ238" s="70">
        <f ca="1">MIN((AY238*AW238*(Kcmax-H238)),AU238*Kcmax)</f>
        <v>0</v>
      </c>
      <c r="BA238" s="70">
        <f ca="1">MIN(((1-AY238)*AX238*(Kcmax-H238)),AV238*Kcmax)</f>
        <v>0</v>
      </c>
      <c r="BB238" s="70">
        <f ca="1" t="shared" si="39"/>
        <v>0</v>
      </c>
      <c r="BC238" s="70">
        <f ca="1">MIN((R238-AA238)/(R238*(1-(p+0.04*(5-I237)))),1)</f>
        <v>1</v>
      </c>
      <c r="BD238" s="10">
        <f ca="1" t="shared" si="40"/>
        <v>2.50692563382581</v>
      </c>
      <c r="BE238" s="70">
        <f ca="1">MIN(IF((1-AA238/R238)&gt;0,(1-Y238/TEW)/(1-AA238/R238)*(Ze/P238)^0.6,0),1)*BC238*H238*B238</f>
        <v>0.984786999666238</v>
      </c>
      <c r="BF238" s="70">
        <f ca="1">MIN(IF((1-AA238/R238)&gt;0,(1-Z238/TEW)/(1-AA238/R238)*(Ze/P238)^0.6,0),1)*BC238*H238*B238</f>
        <v>0.984786999666238</v>
      </c>
      <c r="BH238" s="10">
        <f ca="1" t="shared" si="41"/>
        <v>0.398133698579844</v>
      </c>
      <c r="BI238" s="10">
        <f ca="1">IF(F238&lt;&gt;"",(Moy_Etobs-F238)^2,"")</f>
        <v>2.3379371059685</v>
      </c>
    </row>
    <row r="239" spans="1:61">
      <c r="A239" s="38">
        <v>39232</v>
      </c>
      <c r="B239" s="10">
        <v>4.179</v>
      </c>
      <c r="C239" s="39">
        <v>4.158</v>
      </c>
      <c r="D239">
        <v>0.787</v>
      </c>
      <c r="E239" s="39">
        <v>0</v>
      </c>
      <c r="F239" s="10">
        <v>3.9779244</v>
      </c>
      <c r="G239" s="10">
        <f ca="1">MIN(MAX(IF(AND(Durpla&gt;ROW()-MATCH(NDVImax,INDEX(D:D,Lig_min,1):INDEX(D:D,Lig_max,1),0)-Lig_min+1,ROW()-MATCH(NDVImax,INDEX(D:D,Lig_min,1):INDEX(D:D,Lig_max,1),0)-Lig_min+1&gt;0,D239*a_fc+b_fc&gt;fc_fin),NDVImax*a_fc+b_fc,D239*a_fc+b_fc),0),1)</f>
        <v>1</v>
      </c>
      <c r="H239" s="55">
        <f>MIN(MAX(D239*a_kcb+b_kcb,0),Kcmax)</f>
        <v>0.957448805579198</v>
      </c>
      <c r="I239" s="70">
        <f ca="1" t="shared" si="33"/>
        <v>4.00117855851547</v>
      </c>
      <c r="O239" s="55"/>
      <c r="P239" s="35">
        <f ca="1">IF(ROW()-MATCH(NDVImax,INDEX(D:D,Lig_min,1):INDEX(D:D,Lig_max,1),0)-Lig_min+1&gt;0,MAX(MIN(Zr_min+MAX(INDEX(G:G,Lig_min,1):INDEX(G:G,Lig_max,1))/MAX(MAX(INDEX(G:G,Lig_min,1):INDEX(G:G,Lig_max,1)),Max_fc_pour_Zrmax)*(Zr_max-Zr_min),Zr_max),Ze+0.001),MAX(MIN(Zr_min+G239/MAX(MAX(INDEX(G:G,Lig_min,1):INDEX(G:G,Lig_max,1)),Max_fc_pour_Zrmax)*(Zr_max-Zr_min),Zr_max),Ze+0.001))</f>
        <v>595.55606968994</v>
      </c>
      <c r="Q239" s="35">
        <f ca="1">IF(Z_sol&gt;0,Z_sol-P239,0.1)</f>
        <v>18.318481374494</v>
      </c>
      <c r="R239" s="35">
        <f ca="1">(Wfc-Wwp)*P239</f>
        <v>77.4222890596922</v>
      </c>
      <c r="S239" s="35">
        <f ca="1">(Wfc-Wwp)*Q239</f>
        <v>2.38140257868422</v>
      </c>
      <c r="T239" s="99">
        <f ca="1" t="shared" si="42"/>
        <v>1.80206284794061</v>
      </c>
      <c r="U239" s="99">
        <f ca="1" t="shared" si="43"/>
        <v>1.80206284794061</v>
      </c>
      <c r="V239" s="99">
        <f ca="1">IF(P239&gt;P238,IF(Q239&gt;1,MAX(AI238+(Wfc-Wwp)*(P239-P238)*AJ238/S238,0),AI238/P238*P239),MAX(AI238+(Wfc-Wwp)*(P239-P238)*AI238/R238,0))</f>
        <v>4.59226265115771</v>
      </c>
      <c r="W239" s="99">
        <f ca="1">IF(S239&gt;1,IF(P239&gt;P238,MAX(AJ238-(Wfc-Wwp)*(P239-P238)*AJ238/S238,0),MAX(AJ238-(Wfc-Wwp)*(P239-P238)*AI238/R238,0)),0)</f>
        <v>8.75373928760109e-9</v>
      </c>
      <c r="X239" s="99">
        <f ca="1">IF(AND(OR(AND(dec_vide_TAW&lt;0,V239&gt;R239*(p+0.04*(5-I238))),AND(dec_vide_TAW&gt;0,V239&gt;R239*dec_vide_TAW)),H239&gt;MAX(INDEX(H:H,Lig_min,1):INDEX(H:H,ROW(X239),1))*Kcbmax_stop_irrig*IF(ROW(X239)-lig_kcbmax&gt;0,1,0),MIN(INDEX(H:H,ROW(X239),1):INDEX(H:H,lig_kcbmax,1))&gt;Kcbmin_start_irrig),MIN(MAX(V239-E239*Irri_man-C239,0),Lame_max),0)</f>
        <v>0</v>
      </c>
      <c r="Y239" s="99">
        <f ca="1">MIN(MAX(T239-C239-IF(fw&gt;0,X239/fw*Irri_auto+E239/fw*Irri_man,0),0),TEW)</f>
        <v>0</v>
      </c>
      <c r="Z239" s="99">
        <f ca="1">MIN(MAX(U239-C239,0),TEW)</f>
        <v>0</v>
      </c>
      <c r="AA239" s="99">
        <f ca="1">MIN(MAX(V239-C239-(X239*Irri_auto+E239*Irri_man),0),R239)</f>
        <v>0.434262651157714</v>
      </c>
      <c r="AB239" s="99">
        <f ca="1">MIN(MAX(W239+MIN(V239-C239-(X239*Irri_auto+E239*Irri_man),0),0),S239)</f>
        <v>8.75373928760109e-9</v>
      </c>
      <c r="AC239" s="99">
        <f ca="1">-MIN(W239+MIN(V239-C239-(X239*Irri_auto+E239*Irri_man),0),0)</f>
        <v>0</v>
      </c>
      <c r="AD239" s="39">
        <f ca="1">IF(((R239-AA239)/P239-((Wfc-Wwp)*Ze-Y239)/Ze)/Wfc*DiffE&lt;0,MAX(((R239-AA239)/P239-((Wfc-Wwp)*Ze-Y239)/Ze)/Wfc*DiffE,(R239*Ze-((Wfc-Wwp)*Ze-Y239-AA239)*P239)/(P239+Ze)-AA239),MIN(((R239-AA239)/P239-((Wfc-Wwp)*Ze-Y239)/Ze)/Wfc*DiffE,(R239*Ze-((Wfc-Wwp)*Ze-Y239-AA239)*P239)/(P239+Ze)-AA239))</f>
        <v>-1.82292933133821e-9</v>
      </c>
      <c r="AE239" s="39">
        <f ca="1">IF(((R239-AA239)/P239-((Wfc-Wwp)*Ze-Z239)/Ze)/Wfc*DiffE&lt;0,MAX(((R239-AA239)/P239-((Wfc-Wwp)*Ze-Z239)/Ze)/Wfc*DiffE,(R239*Ze-((Wfc-Wwp)*Ze-Z239-AA239)*P239)/(P239+Ze)-AA239),MIN(((R239-AA239)/P239-((Wfc-Wwp)*Ze-Z239)/Ze)/Wfc*DiffE,(R239*Ze-((Wfc-Wwp)*Ze-Z239-AA239)*P239)/(P239+Ze)-AA239))</f>
        <v>-1.82292933133821e-9</v>
      </c>
      <c r="AF239" s="39">
        <f ca="1">IF(((S239-AB239)/Q239-(R239-AA239)/P239)/Wfc*DiffR&lt;0,MAX(((S239-AB239)/Q239-(R239-AA239)/P239)/Wfc*DiffR,(S239*P239-(R239-AA239-AB239)*Q239)/(P239+Q239)-AB239),MIN(((S239-AB239)/Q239-(R239-AA239)/P239)/Wfc*DiffR,(S239*P239-(R239-AA239-AB239)*Q239)/(P239+Q239)-AB239))</f>
        <v>1.82292813667877e-9</v>
      </c>
      <c r="AG239" s="99">
        <f ca="1">MIN(MAX(Y239+IF(AU239&gt;0,B239*AZ239/AU239,0)+BE239-AD239,0),TEW)</f>
        <v>1.57696904665147</v>
      </c>
      <c r="AH239" s="99">
        <f ca="1">MIN(MAX(Z239+IF(AV239&gt;0,B239*BA239/AV239,0)+BF239-AE239,0),TEW)</f>
        <v>1.57696904665147</v>
      </c>
      <c r="AI239" s="99">
        <f ca="1" t="shared" si="34"/>
        <v>4.43544120785025</v>
      </c>
      <c r="AJ239" s="99">
        <f ca="1" t="shared" si="35"/>
        <v>1.05766674242799e-8</v>
      </c>
      <c r="AK239" s="70">
        <f ca="1">IF((AU239+AV239)&gt;0,(TEW-(AG239*AU239+AH239*AV239)/(AU239+AV239))/TEW,(TEW-(AG239+AH239)/2)/TEW)</f>
        <v>0.952393387270899</v>
      </c>
      <c r="AL239" s="70">
        <f ca="1" t="shared" si="36"/>
        <v>0.942711055669892</v>
      </c>
      <c r="AM239" s="70">
        <f ca="1" t="shared" si="37"/>
        <v>0.999999995558639</v>
      </c>
      <c r="AN239" s="70">
        <f ca="1">Wwp+(Wfc-Wwp)*IF((AU239+AV239)&gt;0,(TEW-(AG239*AU239+AH239*AV239)/(AU239+AV239))/TEW,(TEW-(AG239+AH239)/2)/TEW)</f>
        <v>0.393811140345217</v>
      </c>
      <c r="AO239" s="70">
        <f ca="1">Wwp+(Wfc-Wwp)*(R239-AI239)/R239</f>
        <v>0.392552437237086</v>
      </c>
      <c r="AP239" s="70">
        <f ca="1">Wwp+(Wfc-Wwp)*(S239-AJ239)/S239</f>
        <v>0.399999999422623</v>
      </c>
      <c r="AQ239" s="70"/>
      <c r="AR239" s="70"/>
      <c r="AS239" s="70"/>
      <c r="AT239" s="70"/>
      <c r="AU239" s="70">
        <f ca="1">MIN((1-G239),fw)</f>
        <v>0</v>
      </c>
      <c r="AV239" s="70">
        <f ca="1" t="shared" si="38"/>
        <v>0</v>
      </c>
      <c r="AW239" s="70">
        <f ca="1">MIN((TEW-Y239)/(TEW-REW),1)</f>
        <v>0.12727820001996</v>
      </c>
      <c r="AX239" s="70">
        <f ca="1">MIN((TEW-Z239)/(TEW-REW),1)</f>
        <v>0.12727820001996</v>
      </c>
      <c r="AY239" s="70">
        <f ca="1">IF((AU239*(TEW-Y239))&gt;0,1/(1+((AV239*(TEW-Z239))/(AU239*(TEW-Y239)))),0)</f>
        <v>0</v>
      </c>
      <c r="AZ239" s="70">
        <f ca="1">MIN((AY239*AW239*(Kcmax-H239)),AU239*Kcmax)</f>
        <v>0</v>
      </c>
      <c r="BA239" s="70">
        <f ca="1">MIN(((1-AY239)*AX239*(Kcmax-H239)),AV239*Kcmax)</f>
        <v>0</v>
      </c>
      <c r="BB239" s="70">
        <f ca="1" t="shared" si="39"/>
        <v>0</v>
      </c>
      <c r="BC239" s="70">
        <f ca="1">MIN((R239-AA239)/(R239*(1-(p+0.04*(5-I238)))),1)</f>
        <v>1</v>
      </c>
      <c r="BD239" s="10">
        <f ca="1" t="shared" si="40"/>
        <v>4.00117855851547</v>
      </c>
      <c r="BE239" s="70">
        <f ca="1">MIN(IF((1-AA239/R239)&gt;0,(1-Y239/TEW)/(1-AA239/R239)*(Ze/P239)^0.6,0),1)*BC239*H239*B239</f>
        <v>1.57696904482854</v>
      </c>
      <c r="BF239" s="70">
        <f ca="1">MIN(IF((1-AA239/R239)&gt;0,(1-Z239/TEW)/(1-AA239/R239)*(Ze/P239)^0.6,0),1)*BC239*H239*B239</f>
        <v>1.57696904482854</v>
      </c>
      <c r="BH239" s="10">
        <f ca="1" t="shared" si="41"/>
        <v>0.000540755888262553</v>
      </c>
      <c r="BI239" s="10">
        <f ca="1">IF(F239&lt;&gt;"",(Moy_Etobs-F239)^2,"")</f>
        <v>5.6124065608943</v>
      </c>
    </row>
    <row r="240" spans="1:61">
      <c r="A240" s="38">
        <v>39233</v>
      </c>
      <c r="B240" s="10">
        <v>2.099</v>
      </c>
      <c r="C240" s="39">
        <v>1.584</v>
      </c>
      <c r="D240">
        <v>0.772</v>
      </c>
      <c r="E240" s="39">
        <v>0</v>
      </c>
      <c r="F240" s="10">
        <v>2.384604</v>
      </c>
      <c r="G240" s="10">
        <f ca="1">MIN(MAX(IF(AND(Durpla&gt;ROW()-MATCH(NDVImax,INDEX(D:D,Lig_min,1):INDEX(D:D,Lig_max,1),0)-Lig_min+1,ROW()-MATCH(NDVImax,INDEX(D:D,Lig_min,1):INDEX(D:D,Lig_max,1),0)-Lig_min+1&gt;0,D240*a_fc+b_fc&gt;fc_fin),NDVImax*a_fc+b_fc,D240*a_fc+b_fc),0),1)</f>
        <v>1</v>
      </c>
      <c r="H240" s="55">
        <f>MIN(MAX(D240*a_kcb+b_kcb,0),Kcmax)</f>
        <v>0.93490291533793</v>
      </c>
      <c r="I240" s="70">
        <f ca="1" t="shared" si="33"/>
        <v>1.96236121929431</v>
      </c>
      <c r="O240" s="55"/>
      <c r="P240" s="35">
        <f ca="1">IF(ROW()-MATCH(NDVImax,INDEX(D:D,Lig_min,1):INDEX(D:D,Lig_max,1),0)-Lig_min+1&gt;0,MAX(MIN(Zr_min+MAX(INDEX(G:G,Lig_min,1):INDEX(G:G,Lig_max,1))/MAX(MAX(INDEX(G:G,Lig_min,1):INDEX(G:G,Lig_max,1)),Max_fc_pour_Zrmax)*(Zr_max-Zr_min),Zr_max),Ze+0.001),MAX(MIN(Zr_min+G240/MAX(MAX(INDEX(G:G,Lig_min,1):INDEX(G:G,Lig_max,1)),Max_fc_pour_Zrmax)*(Zr_max-Zr_min),Zr_max),Ze+0.001))</f>
        <v>595.55606968994</v>
      </c>
      <c r="Q240" s="35">
        <f ca="1">IF(Z_sol&gt;0,Z_sol-P240,0.1)</f>
        <v>18.318481374494</v>
      </c>
      <c r="R240" s="35">
        <f ca="1">(Wfc-Wwp)*P240</f>
        <v>77.4222890596922</v>
      </c>
      <c r="S240" s="35">
        <f ca="1">(Wfc-Wwp)*Q240</f>
        <v>2.38140257868422</v>
      </c>
      <c r="T240" s="99">
        <f ca="1" t="shared" si="42"/>
        <v>1.57696904665147</v>
      </c>
      <c r="U240" s="99">
        <f ca="1" t="shared" si="43"/>
        <v>1.57696904665147</v>
      </c>
      <c r="V240" s="99">
        <f ca="1">IF(P240&gt;P239,IF(Q240&gt;1,MAX(AI239+(Wfc-Wwp)*(P240-P239)*AJ239/S239,0),AI239/P239*P240),MAX(AI239+(Wfc-Wwp)*(P240-P239)*AI239/R239,0))</f>
        <v>4.43544120785025</v>
      </c>
      <c r="W240" s="99">
        <f ca="1">IF(S240&gt;1,IF(P240&gt;P239,MAX(AJ239-(Wfc-Wwp)*(P240-P239)*AJ239/S239,0),MAX(AJ239-(Wfc-Wwp)*(P240-P239)*AI239/R239,0)),0)</f>
        <v>1.05766674242799e-8</v>
      </c>
      <c r="X240" s="99">
        <f ca="1">IF(AND(OR(AND(dec_vide_TAW&lt;0,V240&gt;R240*(p+0.04*(5-I239))),AND(dec_vide_TAW&gt;0,V240&gt;R240*dec_vide_TAW)),H240&gt;MAX(INDEX(H:H,Lig_min,1):INDEX(H:H,ROW(X240),1))*Kcbmax_stop_irrig*IF(ROW(X240)-lig_kcbmax&gt;0,1,0),MIN(INDEX(H:H,ROW(X240),1):INDEX(H:H,lig_kcbmax,1))&gt;Kcbmin_start_irrig),MIN(MAX(V240-E240*Irri_man-C240,0),Lame_max),0)</f>
        <v>0</v>
      </c>
      <c r="Y240" s="99">
        <f ca="1">MIN(MAX(T240-C240-IF(fw&gt;0,X240/fw*Irri_auto+E240/fw*Irri_man,0),0),TEW)</f>
        <v>0</v>
      </c>
      <c r="Z240" s="99">
        <f ca="1">MIN(MAX(U240-C240,0),TEW)</f>
        <v>0</v>
      </c>
      <c r="AA240" s="99">
        <f ca="1">MIN(MAX(V240-C240-(X240*Irri_auto+E240*Irri_man),0),R240)</f>
        <v>2.85144120785025</v>
      </c>
      <c r="AB240" s="99">
        <f ca="1">MIN(MAX(W240+MIN(V240-C240-(X240*Irri_auto+E240*Irri_man),0),0),S240)</f>
        <v>1.05766674242799e-8</v>
      </c>
      <c r="AC240" s="99">
        <f ca="1">-MIN(W240+MIN(V240-C240-(X240*Irri_auto+E240*Irri_man),0),0)</f>
        <v>0</v>
      </c>
      <c r="AD240" s="39">
        <f ca="1">IF(((R240-AA240)/P240-((Wfc-Wwp)*Ze-Y240)/Ze)/Wfc*DiffE&lt;0,MAX(((R240-AA240)/P240-((Wfc-Wwp)*Ze-Y240)/Ze)/Wfc*DiffE,(R240*Ze-((Wfc-Wwp)*Ze-Y240-AA240)*P240)/(P240+Ze)-AA240),MIN(((R240-AA240)/P240-((Wfc-Wwp)*Ze-Y240)/Ze)/Wfc*DiffE,(R240*Ze-((Wfc-Wwp)*Ze-Y240-AA240)*P240)/(P240+Ze)-AA240))</f>
        <v>-1.19696589161403e-8</v>
      </c>
      <c r="AE240" s="39">
        <f ca="1">IF(((R240-AA240)/P240-((Wfc-Wwp)*Ze-Z240)/Ze)/Wfc*DiffE&lt;0,MAX(((R240-AA240)/P240-((Wfc-Wwp)*Ze-Z240)/Ze)/Wfc*DiffE,(R240*Ze-((Wfc-Wwp)*Ze-Z240-AA240)*P240)/(P240+Ze)-AA240),MIN(((R240-AA240)/P240-((Wfc-Wwp)*Ze-Z240)/Ze)/Wfc*DiffE,(R240*Ze-((Wfc-Wwp)*Ze-Z240-AA240)*P240)/(P240+Ze)-AA240))</f>
        <v>-1.19696589161403e-8</v>
      </c>
      <c r="AF240" s="39">
        <f ca="1">IF(((S240-AB240)/Q240-(R240-AA240)/P240)/Wfc*DiffR&lt;0,MAX(((S240-AB240)/Q240-(R240-AA240)/P240)/Wfc*DiffR,(S240*P240-(R240-AA240-AB240)*Q240)/(P240+Q240)-AB240),MIN(((S240-AB240)/Q240-(R240-AA240)/P240)/Wfc*DiffR,(S240*P240-(R240-AA240-AB240)*Q240)/(P240+Q240)-AB240))</f>
        <v>1.19696574726981e-8</v>
      </c>
      <c r="AG240" s="99">
        <f ca="1">MIN(MAX(Y240+IF(AU240&gt;0,B240*AZ240/AU240,0)+BE240-AD240,0),TEW)</f>
        <v>0.798487828316848</v>
      </c>
      <c r="AH240" s="99">
        <f ca="1">MIN(MAX(Z240+IF(AV240&gt;0,B240*BA240/AV240,0)+BF240-AE240,0),TEW)</f>
        <v>0.798487828316848</v>
      </c>
      <c r="AI240" s="99">
        <f ca="1" t="shared" si="34"/>
        <v>4.81380241517491</v>
      </c>
      <c r="AJ240" s="99">
        <f ca="1" t="shared" si="35"/>
        <v>2.2546324896978e-8</v>
      </c>
      <c r="AK240" s="70">
        <f ca="1">IF((AU240+AV240)&gt;0,(TEW-(AG240*AU240+AH240*AV240)/(AU240+AV240))/TEW,(TEW-(AG240+AH240)/2)/TEW)</f>
        <v>0.97589470706968</v>
      </c>
      <c r="AL240" s="70">
        <f ca="1" t="shared" si="36"/>
        <v>0.93782407529357</v>
      </c>
      <c r="AM240" s="70">
        <f ca="1" t="shared" si="37"/>
        <v>0.999999990532334</v>
      </c>
      <c r="AN240" s="70">
        <f ca="1">Wwp+(Wfc-Wwp)*IF((AU240+AV240)&gt;0,(TEW-(AG240*AU240+AH240*AV240)/(AU240+AV240))/TEW,(TEW-(AG240+AH240)/2)/TEW)</f>
        <v>0.396866311919058</v>
      </c>
      <c r="AO240" s="70">
        <f ca="1">Wwp+(Wfc-Wwp)*(R240-AI240)/R240</f>
        <v>0.391917129788164</v>
      </c>
      <c r="AP240" s="70">
        <f ca="1">Wwp+(Wfc-Wwp)*(S240-AJ240)/S240</f>
        <v>0.399999998769203</v>
      </c>
      <c r="AQ240" s="70"/>
      <c r="AR240" s="70"/>
      <c r="AS240" s="70"/>
      <c r="AT240" s="70"/>
      <c r="AU240" s="70">
        <f ca="1">MIN((1-G240),fw)</f>
        <v>0</v>
      </c>
      <c r="AV240" s="70">
        <f ca="1" t="shared" si="38"/>
        <v>0</v>
      </c>
      <c r="AW240" s="70">
        <f ca="1">MIN((TEW-Y240)/(TEW-REW),1)</f>
        <v>0.12727820001996</v>
      </c>
      <c r="AX240" s="70">
        <f ca="1">MIN((TEW-Z240)/(TEW-REW),1)</f>
        <v>0.12727820001996</v>
      </c>
      <c r="AY240" s="70">
        <f ca="1">IF((AU240*(TEW-Y240))&gt;0,1/(1+((AV240*(TEW-Z240))/(AU240*(TEW-Y240)))),0)</f>
        <v>0</v>
      </c>
      <c r="AZ240" s="70">
        <f ca="1">MIN((AY240*AW240*(Kcmax-H240)),AU240*Kcmax)</f>
        <v>0</v>
      </c>
      <c r="BA240" s="70">
        <f ca="1">MIN(((1-AY240)*AX240*(Kcmax-H240)),AV240*Kcmax)</f>
        <v>0</v>
      </c>
      <c r="BB240" s="70">
        <f ca="1" t="shared" si="39"/>
        <v>0</v>
      </c>
      <c r="BC240" s="70">
        <f ca="1">MIN((R240-AA240)/(R240*(1-(p+0.04*(5-I239)))),1)</f>
        <v>1</v>
      </c>
      <c r="BD240" s="10">
        <f ca="1" t="shared" si="40"/>
        <v>1.96236121929431</v>
      </c>
      <c r="BE240" s="70">
        <f ca="1">MIN(IF((1-AA240/R240)&gt;0,(1-Y240/TEW)/(1-AA240/R240)*(Ze/P240)^0.6,0),1)*BC240*H240*B240</f>
        <v>0.798487816347189</v>
      </c>
      <c r="BF240" s="70">
        <f ca="1">MIN(IF((1-AA240/R240)&gt;0,(1-Z240/TEW)/(1-AA240/R240)*(Ze/P240)^0.6,0),1)*BC240*H240*B240</f>
        <v>0.798487816347189</v>
      </c>
      <c r="BH240" s="10">
        <f ca="1" t="shared" si="41"/>
        <v>0.17828896585807</v>
      </c>
      <c r="BI240" s="10">
        <f ca="1">IF(F240&lt;&gt;"",(Moy_Etobs-F240)^2,"")</f>
        <v>0.601759247451791</v>
      </c>
    </row>
    <row r="241" spans="1:61">
      <c r="A241" s="38">
        <v>39234</v>
      </c>
      <c r="B241" s="10">
        <v>2.959</v>
      </c>
      <c r="C241" s="39">
        <v>3.168</v>
      </c>
      <c r="D241">
        <v>0.756</v>
      </c>
      <c r="E241" s="39">
        <v>0</v>
      </c>
      <c r="F241" s="10">
        <v>3.507858</v>
      </c>
      <c r="G241" s="10">
        <f ca="1">MIN(MAX(IF(AND(Durpla&gt;ROW()-MATCH(NDVImax,INDEX(D:D,Lig_min,1):INDEX(D:D,Lig_max,1),0)-Lig_min+1,ROW()-MATCH(NDVImax,INDEX(D:D,Lig_min,1):INDEX(D:D,Lig_max,1),0)-Lig_min+1&gt;0,D241*a_fc+b_fc&gt;fc_fin),NDVImax*a_fc+b_fc,D241*a_fc+b_fc),0),1)</f>
        <v>1</v>
      </c>
      <c r="H241" s="55">
        <f>MIN(MAX(D241*a_kcb+b_kcb,0),Kcmax)</f>
        <v>0.910853965747243</v>
      </c>
      <c r="I241" s="70">
        <f ca="1" t="shared" si="33"/>
        <v>2.69521688464609</v>
      </c>
      <c r="O241" s="55"/>
      <c r="P241" s="35">
        <f ca="1">IF(ROW()-MATCH(NDVImax,INDEX(D:D,Lig_min,1):INDEX(D:D,Lig_max,1),0)-Lig_min+1&gt;0,MAX(MIN(Zr_min+MAX(INDEX(G:G,Lig_min,1):INDEX(G:G,Lig_max,1))/MAX(MAX(INDEX(G:G,Lig_min,1):INDEX(G:G,Lig_max,1)),Max_fc_pour_Zrmax)*(Zr_max-Zr_min),Zr_max),Ze+0.001),MAX(MIN(Zr_min+G241/MAX(MAX(INDEX(G:G,Lig_min,1):INDEX(G:G,Lig_max,1)),Max_fc_pour_Zrmax)*(Zr_max-Zr_min),Zr_max),Ze+0.001))</f>
        <v>595.55606968994</v>
      </c>
      <c r="Q241" s="35">
        <f ca="1">IF(Z_sol&gt;0,Z_sol-P241,0.1)</f>
        <v>18.318481374494</v>
      </c>
      <c r="R241" s="35">
        <f ca="1">(Wfc-Wwp)*P241</f>
        <v>77.4222890596922</v>
      </c>
      <c r="S241" s="35">
        <f ca="1">(Wfc-Wwp)*Q241</f>
        <v>2.38140257868422</v>
      </c>
      <c r="T241" s="99">
        <f ca="1" t="shared" si="42"/>
        <v>0.798487828316848</v>
      </c>
      <c r="U241" s="99">
        <f ca="1" t="shared" si="43"/>
        <v>0.798487828316848</v>
      </c>
      <c r="V241" s="99">
        <f ca="1">IF(P241&gt;P240,IF(Q241&gt;1,MAX(AI240+(Wfc-Wwp)*(P241-P240)*AJ240/S240,0),AI240/P240*P241),MAX(AI240+(Wfc-Wwp)*(P241-P240)*AI240/R240,0))</f>
        <v>4.81380241517491</v>
      </c>
      <c r="W241" s="99">
        <f ca="1">IF(S241&gt;1,IF(P241&gt;P240,MAX(AJ240-(Wfc-Wwp)*(P241-P240)*AJ240/S240,0),MAX(AJ240-(Wfc-Wwp)*(P241-P240)*AI240/R240,0)),0)</f>
        <v>2.2546324896978e-8</v>
      </c>
      <c r="X241" s="99">
        <f ca="1">IF(AND(OR(AND(dec_vide_TAW&lt;0,V241&gt;R241*(p+0.04*(5-I240))),AND(dec_vide_TAW&gt;0,V241&gt;R241*dec_vide_TAW)),H241&gt;MAX(INDEX(H:H,Lig_min,1):INDEX(H:H,ROW(X241),1))*Kcbmax_stop_irrig*IF(ROW(X241)-lig_kcbmax&gt;0,1,0),MIN(INDEX(H:H,ROW(X241),1):INDEX(H:H,lig_kcbmax,1))&gt;Kcbmin_start_irrig),MIN(MAX(V241-E241*Irri_man-C241,0),Lame_max),0)</f>
        <v>0</v>
      </c>
      <c r="Y241" s="99">
        <f ca="1">MIN(MAX(T241-C241-IF(fw&gt;0,X241/fw*Irri_auto+E241/fw*Irri_man,0),0),TEW)</f>
        <v>0</v>
      </c>
      <c r="Z241" s="99">
        <f ca="1">MIN(MAX(U241-C241,0),TEW)</f>
        <v>0</v>
      </c>
      <c r="AA241" s="99">
        <f ca="1">MIN(MAX(V241-C241-(X241*Irri_auto+E241*Irri_man),0),R241)</f>
        <v>1.64580241517491</v>
      </c>
      <c r="AB241" s="99">
        <f ca="1">MIN(MAX(W241+MIN(V241-C241-(X241*Irri_auto+E241*Irri_man),0),0),S241)</f>
        <v>2.2546324896978e-8</v>
      </c>
      <c r="AC241" s="99">
        <f ca="1">-MIN(W241+MIN(V241-C241-(X241*Irri_auto+E241*Irri_man),0),0)</f>
        <v>0</v>
      </c>
      <c r="AD241" s="39">
        <f ca="1">IF(((R241-AA241)/P241-((Wfc-Wwp)*Ze-Y241)/Ze)/Wfc*DiffE&lt;0,MAX(((R241-AA241)/P241-((Wfc-Wwp)*Ze-Y241)/Ze)/Wfc*DiffE,(R241*Ze-((Wfc-Wwp)*Ze-Y241-AA241)*P241)/(P241+Ze)-AA241),MIN(((R241-AA241)/P241-((Wfc-Wwp)*Ze-Y241)/Ze)/Wfc*DiffE,(R241*Ze-((Wfc-Wwp)*Ze-Y241-AA241)*P241)/(P241+Ze)-AA241))</f>
        <v>-6.90867954730008e-9</v>
      </c>
      <c r="AE241" s="39">
        <f ca="1">IF(((R241-AA241)/P241-((Wfc-Wwp)*Ze-Z241)/Ze)/Wfc*DiffE&lt;0,MAX(((R241-AA241)/P241-((Wfc-Wwp)*Ze-Z241)/Ze)/Wfc*DiffE,(R241*Ze-((Wfc-Wwp)*Ze-Z241-AA241)*P241)/(P241+Ze)-AA241),MIN(((R241-AA241)/P241-((Wfc-Wwp)*Ze-Z241)/Ze)/Wfc*DiffE,(R241*Ze-((Wfc-Wwp)*Ze-Z241-AA241)*P241)/(P241+Ze)-AA241))</f>
        <v>-6.90867954730008e-9</v>
      </c>
      <c r="AF241" s="39">
        <f ca="1">IF(((S241-AB241)/Q241-(R241-AA241)/P241)/Wfc*DiffR&lt;0,MAX(((S241-AB241)/Q241-(R241-AA241)/P241)/Wfc*DiffR,(S241*P241-(R241-AA241-AB241)*Q241)/(P241+Q241)-AB241),MIN(((S241-AB241)/Q241-(R241-AA241)/P241)/Wfc*DiffR,(S241*P241-(R241-AA241-AB241)*Q241)/(P241+Q241)-AB241))</f>
        <v>6.90867647030857e-9</v>
      </c>
      <c r="AG241" s="99">
        <f ca="1">MIN(MAX(Y241+IF(AU241&gt;0,B241*AZ241/AU241,0)+BE241-AD241,0),TEW)</f>
        <v>1.07923911761244</v>
      </c>
      <c r="AH241" s="99">
        <f ca="1">MIN(MAX(Z241+IF(AV241&gt;0,B241*BA241/AV241,0)+BF241-AE241,0),TEW)</f>
        <v>1.07923911761244</v>
      </c>
      <c r="AI241" s="99">
        <f ca="1" t="shared" si="34"/>
        <v>4.34101929291233</v>
      </c>
      <c r="AJ241" s="99">
        <f ca="1" t="shared" si="35"/>
        <v>2.94550013672865e-8</v>
      </c>
      <c r="AK241" s="70">
        <f ca="1">IF((AU241+AV241)&gt;0,(TEW-(AG241*AU241+AH241*AV241)/(AU241+AV241))/TEW,(TEW-(AG241+AH241)/2)/TEW)</f>
        <v>0.967419196449436</v>
      </c>
      <c r="AL241" s="70">
        <f ca="1" t="shared" si="36"/>
        <v>0.943930625849031</v>
      </c>
      <c r="AM241" s="70">
        <f ca="1" t="shared" si="37"/>
        <v>0.999999987631238</v>
      </c>
      <c r="AN241" s="70">
        <f ca="1">Wwp+(Wfc-Wwp)*IF((AU241+AV241)&gt;0,(TEW-(AG241*AU241+AH241*AV241)/(AU241+AV241))/TEW,(TEW-(AG241+AH241)/2)/TEW)</f>
        <v>0.395764495538427</v>
      </c>
      <c r="AO241" s="70">
        <f ca="1">Wwp+(Wfc-Wwp)*(R241-AI241)/R241</f>
        <v>0.392710981360374</v>
      </c>
      <c r="AP241" s="70">
        <f ca="1">Wwp+(Wfc-Wwp)*(S241-AJ241)/S241</f>
        <v>0.399999998392061</v>
      </c>
      <c r="AQ241" s="70"/>
      <c r="AR241" s="70"/>
      <c r="AS241" s="70"/>
      <c r="AT241" s="70"/>
      <c r="AU241" s="70">
        <f ca="1">MIN((1-G241),fw)</f>
        <v>0</v>
      </c>
      <c r="AV241" s="70">
        <f ca="1" t="shared" si="38"/>
        <v>0</v>
      </c>
      <c r="AW241" s="70">
        <f ca="1">MIN((TEW-Y241)/(TEW-REW),1)</f>
        <v>0.12727820001996</v>
      </c>
      <c r="AX241" s="70">
        <f ca="1">MIN((TEW-Z241)/(TEW-REW),1)</f>
        <v>0.12727820001996</v>
      </c>
      <c r="AY241" s="70">
        <f ca="1">IF((AU241*(TEW-Y241))&gt;0,1/(1+((AV241*(TEW-Z241))/(AU241*(TEW-Y241)))),0)</f>
        <v>0</v>
      </c>
      <c r="AZ241" s="70">
        <f ca="1">MIN((AY241*AW241*(Kcmax-H241)),AU241*Kcmax)</f>
        <v>0</v>
      </c>
      <c r="BA241" s="70">
        <f ca="1">MIN(((1-AY241)*AX241*(Kcmax-H241)),AV241*Kcmax)</f>
        <v>0</v>
      </c>
      <c r="BB241" s="70">
        <f ca="1" t="shared" si="39"/>
        <v>0</v>
      </c>
      <c r="BC241" s="70">
        <f ca="1">MIN((R241-AA241)/(R241*(1-(p+0.04*(5-I240)))),1)</f>
        <v>1</v>
      </c>
      <c r="BD241" s="10">
        <f ca="1" t="shared" si="40"/>
        <v>2.69521688464609</v>
      </c>
      <c r="BE241" s="70">
        <f ca="1">MIN(IF((1-AA241/R241)&gt;0,(1-Y241/TEW)/(1-AA241/R241)*(Ze/P241)^0.6,0),1)*BC241*H241*B241</f>
        <v>1.07923911070376</v>
      </c>
      <c r="BF241" s="70">
        <f ca="1">MIN(IF((1-AA241/R241)&gt;0,(1-Z241/TEW)/(1-AA241/R241)*(Ze/P241)^0.6,0),1)*BC241*H241*B241</f>
        <v>1.07923911070376</v>
      </c>
      <c r="BH241" s="10">
        <f ca="1" t="shared" si="41"/>
        <v>0.660385582363642</v>
      </c>
      <c r="BI241" s="10">
        <f ca="1">IF(F241&lt;&gt;"",(Moy_Etobs-F241)^2,"")</f>
        <v>3.60614565346716</v>
      </c>
    </row>
    <row r="242" spans="1:61">
      <c r="A242" s="38">
        <v>39235</v>
      </c>
      <c r="B242" s="10">
        <v>3.153</v>
      </c>
      <c r="C242" s="39">
        <v>0</v>
      </c>
      <c r="D242">
        <v>0.74</v>
      </c>
      <c r="E242" s="39">
        <v>0</v>
      </c>
      <c r="F242" s="10">
        <v>3.15414</v>
      </c>
      <c r="G242" s="10">
        <f ca="1">MIN(MAX(IF(AND(Durpla&gt;ROW()-MATCH(NDVImax,INDEX(D:D,Lig_min,1):INDEX(D:D,Lig_max,1),0)-Lig_min+1,ROW()-MATCH(NDVImax,INDEX(D:D,Lig_min,1):INDEX(D:D,Lig_max,1),0)-Lig_min+1&gt;0,D242*a_fc+b_fc&gt;fc_fin),NDVImax*a_fc+b_fc,D242*a_fc+b_fc),0),1)</f>
        <v>1</v>
      </c>
      <c r="H242" s="55">
        <f>MIN(MAX(D242*a_kcb+b_kcb,0),Kcmax)</f>
        <v>0.886805016156557</v>
      </c>
      <c r="I242" s="70">
        <f ca="1" t="shared" si="33"/>
        <v>2.79609621594162</v>
      </c>
      <c r="O242" s="55"/>
      <c r="P242" s="35">
        <f ca="1">IF(ROW()-MATCH(NDVImax,INDEX(D:D,Lig_min,1):INDEX(D:D,Lig_max,1),0)-Lig_min+1&gt;0,MAX(MIN(Zr_min+MAX(INDEX(G:G,Lig_min,1):INDEX(G:G,Lig_max,1))/MAX(MAX(INDEX(G:G,Lig_min,1):INDEX(G:G,Lig_max,1)),Max_fc_pour_Zrmax)*(Zr_max-Zr_min),Zr_max),Ze+0.001),MAX(MIN(Zr_min+G242/MAX(MAX(INDEX(G:G,Lig_min,1):INDEX(G:G,Lig_max,1)),Max_fc_pour_Zrmax)*(Zr_max-Zr_min),Zr_max),Ze+0.001))</f>
        <v>595.55606968994</v>
      </c>
      <c r="Q242" s="35">
        <f ca="1">IF(Z_sol&gt;0,Z_sol-P242,0.1)</f>
        <v>18.318481374494</v>
      </c>
      <c r="R242" s="35">
        <f ca="1">(Wfc-Wwp)*P242</f>
        <v>77.4222890596922</v>
      </c>
      <c r="S242" s="35">
        <f ca="1">(Wfc-Wwp)*Q242</f>
        <v>2.38140257868422</v>
      </c>
      <c r="T242" s="99">
        <f ca="1" t="shared" si="42"/>
        <v>1.07923911761244</v>
      </c>
      <c r="U242" s="99">
        <f ca="1" t="shared" si="43"/>
        <v>1.07923911761244</v>
      </c>
      <c r="V242" s="99">
        <f ca="1">IF(P242&gt;P241,IF(Q242&gt;1,MAX(AI241+(Wfc-Wwp)*(P242-P241)*AJ241/S241,0),AI241/P241*P242),MAX(AI241+(Wfc-Wwp)*(P242-P241)*AI241/R241,0))</f>
        <v>4.34101929291233</v>
      </c>
      <c r="W242" s="99">
        <f ca="1">IF(S242&gt;1,IF(P242&gt;P241,MAX(AJ241-(Wfc-Wwp)*(P242-P241)*AJ241/S241,0),MAX(AJ241-(Wfc-Wwp)*(P242-P241)*AI241/R241,0)),0)</f>
        <v>2.94550013672865e-8</v>
      </c>
      <c r="X242" s="99">
        <f ca="1">IF(AND(OR(AND(dec_vide_TAW&lt;0,V242&gt;R242*(p+0.04*(5-I241))),AND(dec_vide_TAW&gt;0,V242&gt;R242*dec_vide_TAW)),H242&gt;MAX(INDEX(H:H,Lig_min,1):INDEX(H:H,ROW(X242),1))*Kcbmax_stop_irrig*IF(ROW(X242)-lig_kcbmax&gt;0,1,0),MIN(INDEX(H:H,ROW(X242),1):INDEX(H:H,lig_kcbmax,1))&gt;Kcbmin_start_irrig),MIN(MAX(V242-E242*Irri_man-C242,0),Lame_max),0)</f>
        <v>0</v>
      </c>
      <c r="Y242" s="99">
        <f ca="1">MIN(MAX(T242-C242-IF(fw&gt;0,X242/fw*Irri_auto+E242/fw*Irri_man,0),0),TEW)</f>
        <v>1.07923911761244</v>
      </c>
      <c r="Z242" s="99">
        <f ca="1">MIN(MAX(U242-C242,0),TEW)</f>
        <v>1.07923911761244</v>
      </c>
      <c r="AA242" s="99">
        <f ca="1">MIN(MAX(V242-C242-(X242*Irri_auto+E242*Irri_man),0),R242)</f>
        <v>4.34101929291233</v>
      </c>
      <c r="AB242" s="99">
        <f ca="1">MIN(MAX(W242+MIN(V242-C242-(X242*Irri_auto+E242*Irri_man),0),0),S242)</f>
        <v>2.94550013672865e-8</v>
      </c>
      <c r="AC242" s="99">
        <f ca="1">-MIN(W242+MIN(V242-C242-(X242*Irri_auto+E242*Irri_man),0),0)</f>
        <v>0</v>
      </c>
      <c r="AD242" s="39">
        <f ca="1">IF(((R242-AA242)/P242-((Wfc-Wwp)*Ze-Y242)/Ze)/Wfc*DiffE&lt;0,MAX(((R242-AA242)/P242-((Wfc-Wwp)*Ze-Y242)/Ze)/Wfc*DiffE,(R242*Ze-((Wfc-Wwp)*Ze-Y242-AA242)*P242)/(P242+Ze)-AA242),MIN(((R242-AA242)/P242-((Wfc-Wwp)*Ze-Y242)/Ze)/Wfc*DiffE,(R242*Ze-((Wfc-Wwp)*Ze-Y242-AA242)*P242)/(P242+Ze)-AA242))</f>
        <v>3.3622357531839e-9</v>
      </c>
      <c r="AE242" s="39">
        <f ca="1">IF(((R242-AA242)/P242-((Wfc-Wwp)*Ze-Z242)/Ze)/Wfc*DiffE&lt;0,MAX(((R242-AA242)/P242-((Wfc-Wwp)*Ze-Z242)/Ze)/Wfc*DiffE,(R242*Ze-((Wfc-Wwp)*Ze-Z242-AA242)*P242)/(P242+Ze)-AA242),MIN(((R242-AA242)/P242-((Wfc-Wwp)*Ze-Z242)/Ze)/Wfc*DiffE,(R242*Ze-((Wfc-Wwp)*Ze-Z242-AA242)*P242)/(P242+Ze)-AA242))</f>
        <v>3.3622357531839e-9</v>
      </c>
      <c r="AF242" s="39">
        <f ca="1">IF(((S242-AB242)/Q242-(R242-AA242)/P242)/Wfc*DiffR&lt;0,MAX(((S242-AB242)/Q242-(R242-AA242)/P242)/Wfc*DiffR,(S242*P242-(R242-AA242-AB242)*Q242)/(P242+Q242)-AB242),MIN(((S242-AB242)/Q242-(R242-AA242)/P242)/Wfc*DiffR,(S242*P242-(R242-AA242-AB242)*Q242)/(P242+Q242)-AB242))</f>
        <v>1.82225425792172e-8</v>
      </c>
      <c r="AG242" s="99">
        <f ca="1">MIN(MAX(Y242+IF(AU242&gt;0,B242*AZ242/AU242,0)+BE242-AD242,0),TEW)</f>
        <v>2.20234098400912</v>
      </c>
      <c r="AH242" s="99">
        <f ca="1">MIN(MAX(Z242+IF(AV242&gt;0,B242*BA242/AV242,0)+BF242-AE242,0),TEW)</f>
        <v>2.20234098400912</v>
      </c>
      <c r="AI242" s="99">
        <f ca="1" t="shared" si="34"/>
        <v>7.13711549063141</v>
      </c>
      <c r="AJ242" s="99">
        <f ca="1" t="shared" si="35"/>
        <v>4.76775439465037e-8</v>
      </c>
      <c r="AK242" s="70">
        <f ca="1">IF((AU242+AV242)&gt;0,(TEW-(AG242*AU242+AH242*AV242)/(AU242+AV242))/TEW,(TEW-(AG242+AH242)/2)/TEW)</f>
        <v>0.933514234445008</v>
      </c>
      <c r="AL242" s="70">
        <f ca="1" t="shared" si="36"/>
        <v>0.907815752061674</v>
      </c>
      <c r="AM242" s="70">
        <f ca="1" t="shared" si="37"/>
        <v>0.999999979979217</v>
      </c>
      <c r="AN242" s="70">
        <f ca="1">Wwp+(Wfc-Wwp)*IF((AU242+AV242)&gt;0,(TEW-(AG242*AU242+AH242*AV242)/(AU242+AV242))/TEW,(TEW-(AG242+AH242)/2)/TEW)</f>
        <v>0.391356850477851</v>
      </c>
      <c r="AO242" s="70">
        <f ca="1">Wwp+(Wfc-Wwp)*(R242-AI242)/R242</f>
        <v>0.388016047768018</v>
      </c>
      <c r="AP242" s="70">
        <f ca="1">Wwp+(Wfc-Wwp)*(S242-AJ242)/S242</f>
        <v>0.399999997397298</v>
      </c>
      <c r="AQ242" s="70"/>
      <c r="AR242" s="70"/>
      <c r="AS242" s="70"/>
      <c r="AT242" s="70"/>
      <c r="AU242" s="70">
        <f ca="1">MIN((1-G242),fw)</f>
        <v>0</v>
      </c>
      <c r="AV242" s="70">
        <f ca="1" t="shared" si="38"/>
        <v>0</v>
      </c>
      <c r="AW242" s="70">
        <f ca="1">MIN((TEW-Y242)/(TEW-REW),1)</f>
        <v>0.123131373988841</v>
      </c>
      <c r="AX242" s="70">
        <f ca="1">MIN((TEW-Z242)/(TEW-REW),1)</f>
        <v>0.123131373988841</v>
      </c>
      <c r="AY242" s="70">
        <f ca="1">IF((AU242*(TEW-Y242))&gt;0,1/(1+((AV242*(TEW-Z242))/(AU242*(TEW-Y242)))),0)</f>
        <v>0</v>
      </c>
      <c r="AZ242" s="70">
        <f ca="1">MIN((AY242*AW242*(Kcmax-H242)),AU242*Kcmax)</f>
        <v>0</v>
      </c>
      <c r="BA242" s="70">
        <f ca="1">MIN(((1-AY242)*AX242*(Kcmax-H242)),AV242*Kcmax)</f>
        <v>0</v>
      </c>
      <c r="BB242" s="70">
        <f ca="1" t="shared" si="39"/>
        <v>0</v>
      </c>
      <c r="BC242" s="70">
        <f ca="1">MIN((R242-AA242)/(R242*(1-(p+0.04*(5-I241)))),1)</f>
        <v>1</v>
      </c>
      <c r="BD242" s="10">
        <f ca="1" t="shared" si="40"/>
        <v>2.79609621594162</v>
      </c>
      <c r="BE242" s="70">
        <f ca="1">MIN(IF((1-AA242/R242)&gt;0,(1-Y242/TEW)/(1-AA242/R242)*(Ze/P242)^0.6,0),1)*BC242*H242*B242</f>
        <v>1.12310186975892</v>
      </c>
      <c r="BF242" s="70">
        <f ca="1">MIN(IF((1-AA242/R242)&gt;0,(1-Z242/TEW)/(1-AA242/R242)*(Ze/P242)^0.6,0),1)*BC242*H242*B242</f>
        <v>1.12310186975892</v>
      </c>
      <c r="BH242" s="10">
        <f ca="1" t="shared" si="41"/>
        <v>0.128195351302841</v>
      </c>
      <c r="BI242" s="10">
        <f ca="1">IF(F242&lt;&gt;"",(Moy_Etobs-F242)^2,"")</f>
        <v>2.38785142217495</v>
      </c>
    </row>
    <row r="243" spans="1:61">
      <c r="A243" s="38">
        <v>39236</v>
      </c>
      <c r="B243" s="10">
        <v>3.907</v>
      </c>
      <c r="C243" s="39">
        <v>1.188</v>
      </c>
      <c r="D243">
        <v>0.725</v>
      </c>
      <c r="E243" s="39">
        <v>0</v>
      </c>
      <c r="F243" s="10">
        <v>3.827286</v>
      </c>
      <c r="G243" s="10">
        <f ca="1">MIN(MAX(IF(AND(Durpla&gt;ROW()-MATCH(NDVImax,INDEX(D:D,Lig_min,1):INDEX(D:D,Lig_max,1),0)-Lig_min+1,ROW()-MATCH(NDVImax,INDEX(D:D,Lig_min,1):INDEX(D:D,Lig_max,1),0)-Lig_min+1&gt;0,D243*a_fc+b_fc&gt;fc_fin),NDVImax*a_fc+b_fc,D243*a_fc+b_fc),0),1)</f>
        <v>1</v>
      </c>
      <c r="H243" s="55">
        <f>MIN(MAX(D243*a_kcb+b_kcb,0),Kcmax)</f>
        <v>0.864259125915289</v>
      </c>
      <c r="I243" s="70">
        <f ca="1" t="shared" si="33"/>
        <v>3.37666040495103</v>
      </c>
      <c r="O243" s="55"/>
      <c r="P243" s="35">
        <f ca="1">IF(ROW()-MATCH(NDVImax,INDEX(D:D,Lig_min,1):INDEX(D:D,Lig_max,1),0)-Lig_min+1&gt;0,MAX(MIN(Zr_min+MAX(INDEX(G:G,Lig_min,1):INDEX(G:G,Lig_max,1))/MAX(MAX(INDEX(G:G,Lig_min,1):INDEX(G:G,Lig_max,1)),Max_fc_pour_Zrmax)*(Zr_max-Zr_min),Zr_max),Ze+0.001),MAX(MIN(Zr_min+G243/MAX(MAX(INDEX(G:G,Lig_min,1):INDEX(G:G,Lig_max,1)),Max_fc_pour_Zrmax)*(Zr_max-Zr_min),Zr_max),Ze+0.001))</f>
        <v>595.55606968994</v>
      </c>
      <c r="Q243" s="35">
        <f ca="1">IF(Z_sol&gt;0,Z_sol-P243,0.1)</f>
        <v>18.318481374494</v>
      </c>
      <c r="R243" s="35">
        <f ca="1">(Wfc-Wwp)*P243</f>
        <v>77.4222890596922</v>
      </c>
      <c r="S243" s="35">
        <f ca="1">(Wfc-Wwp)*Q243</f>
        <v>2.38140257868422</v>
      </c>
      <c r="T243" s="99">
        <f ca="1" t="shared" si="42"/>
        <v>2.20234098400912</v>
      </c>
      <c r="U243" s="99">
        <f ca="1" t="shared" si="43"/>
        <v>2.20234098400912</v>
      </c>
      <c r="V243" s="99">
        <f ca="1">IF(P243&gt;P242,IF(Q243&gt;1,MAX(AI242+(Wfc-Wwp)*(P243-P242)*AJ242/S242,0),AI242/P242*P243),MAX(AI242+(Wfc-Wwp)*(P243-P242)*AI242/R242,0))</f>
        <v>7.13711549063141</v>
      </c>
      <c r="W243" s="99">
        <f ca="1">IF(S243&gt;1,IF(P243&gt;P242,MAX(AJ242-(Wfc-Wwp)*(P243-P242)*AJ242/S242,0),MAX(AJ242-(Wfc-Wwp)*(P243-P242)*AI242/R242,0)),0)</f>
        <v>4.76775439465037e-8</v>
      </c>
      <c r="X243" s="99">
        <f ca="1">IF(AND(OR(AND(dec_vide_TAW&lt;0,V243&gt;R243*(p+0.04*(5-I242))),AND(dec_vide_TAW&gt;0,V243&gt;R243*dec_vide_TAW)),H243&gt;MAX(INDEX(H:H,Lig_min,1):INDEX(H:H,ROW(X243),1))*Kcbmax_stop_irrig*IF(ROW(X243)-lig_kcbmax&gt;0,1,0),MIN(INDEX(H:H,ROW(X243),1):INDEX(H:H,lig_kcbmax,1))&gt;Kcbmin_start_irrig),MIN(MAX(V243-E243*Irri_man-C243,0),Lame_max),0)</f>
        <v>0</v>
      </c>
      <c r="Y243" s="99">
        <f ca="1">MIN(MAX(T243-C243-IF(fw&gt;0,X243/fw*Irri_auto+E243/fw*Irri_man,0),0),TEW)</f>
        <v>1.01434098400912</v>
      </c>
      <c r="Z243" s="99">
        <f ca="1">MIN(MAX(U243-C243,0),TEW)</f>
        <v>1.01434098400912</v>
      </c>
      <c r="AA243" s="99">
        <f ca="1">MIN(MAX(V243-C243-(X243*Irri_auto+E243*Irri_man),0),R243)</f>
        <v>5.94911549063141</v>
      </c>
      <c r="AB243" s="99">
        <f ca="1">MIN(MAX(W243+MIN(V243-C243-(X243*Irri_auto+E243*Irri_man),0),0),S243)</f>
        <v>4.76775439465037e-8</v>
      </c>
      <c r="AC243" s="99">
        <f ca="1">-MIN(W243+MIN(V243-C243-(X243*Irri_auto+E243*Irri_man),0),0)</f>
        <v>0</v>
      </c>
      <c r="AD243" s="39">
        <f ca="1">IF(((R243-AA243)/P243-((Wfc-Wwp)*Ze-Y243)/Ze)/Wfc*DiffE&lt;0,MAX(((R243-AA243)/P243-((Wfc-Wwp)*Ze-Y243)/Ze)/Wfc*DiffE,(R243*Ze-((Wfc-Wwp)*Ze-Y243-AA243)*P243)/(P243+Ze)-AA243),MIN(((R243-AA243)/P243-((Wfc-Wwp)*Ze-Y243)/Ze)/Wfc*DiffE,(R243*Ze-((Wfc-Wwp)*Ze-Y243-AA243)*P243)/(P243+Ze)-AA243))</f>
        <v>-4.68612490641489e-9</v>
      </c>
      <c r="AE243" s="39">
        <f ca="1">IF(((R243-AA243)/P243-((Wfc-Wwp)*Ze-Z243)/Ze)/Wfc*DiffE&lt;0,MAX(((R243-AA243)/P243-((Wfc-Wwp)*Ze-Z243)/Ze)/Wfc*DiffE,(R243*Ze-((Wfc-Wwp)*Ze-Z243-AA243)*P243)/(P243+Ze)-AA243),MIN(((R243-AA243)/P243-((Wfc-Wwp)*Ze-Z243)/Ze)/Wfc*DiffE,(R243*Ze-((Wfc-Wwp)*Ze-Z243-AA243)*P243)/(P243+Ze)-AA243))</f>
        <v>-4.68612490641489e-9</v>
      </c>
      <c r="AF243" s="39">
        <f ca="1">IF(((S243-AB243)/Q243-(R243-AA243)/P243)/Wfc*DiffR&lt;0,MAX(((S243-AB243)/Q243-(R243-AA243)/P243)/Wfc*DiffR,(S243*P243-(R243-AA243-AB243)*Q243)/(P243+Q243)-AB243),MIN(((S243-AB243)/Q243-(R243-AA243)/P243)/Wfc*DiffR,(S243*P243-(R243-AA243-AB243)*Q243)/(P243+Q243)-AB243))</f>
        <v>2.49729380798428e-8</v>
      </c>
      <c r="AG243" s="99">
        <f ca="1">MIN(MAX(Y243+IF(AU243&gt;0,B243*AZ243/AU243,0)+BE243-AD243,0),TEW)</f>
        <v>2.40396104344203</v>
      </c>
      <c r="AH243" s="99">
        <f ca="1">MIN(MAX(Z243+IF(AV243&gt;0,B243*BA243/AV243,0)+BF243-AE243,0),TEW)</f>
        <v>2.40396104344203</v>
      </c>
      <c r="AI243" s="99">
        <f ca="1" t="shared" si="34"/>
        <v>9.3257758706095</v>
      </c>
      <c r="AJ243" s="99">
        <f ca="1" t="shared" si="35"/>
        <v>7.26504820263466e-8</v>
      </c>
      <c r="AK243" s="70">
        <f ca="1">IF((AU243+AV243)&gt;0,(TEW-(AG243*AU243+AH243*AV243)/(AU243+AV243))/TEW,(TEW-(AG243+AH243)/2)/TEW)</f>
        <v>0.927427591141373</v>
      </c>
      <c r="AL243" s="70">
        <f ca="1" t="shared" si="36"/>
        <v>0.879546626896818</v>
      </c>
      <c r="AM243" s="70">
        <f ca="1" t="shared" si="37"/>
        <v>0.999999969492566</v>
      </c>
      <c r="AN243" s="70">
        <f ca="1">Wwp+(Wfc-Wwp)*IF((AU243+AV243)&gt;0,(TEW-(AG243*AU243+AH243*AV243)/(AU243+AV243))/TEW,(TEW-(AG243+AH243)/2)/TEW)</f>
        <v>0.390565586848378</v>
      </c>
      <c r="AO243" s="70">
        <f ca="1">Wwp+(Wfc-Wwp)*(R243-AI243)/R243</f>
        <v>0.384341061496586</v>
      </c>
      <c r="AP243" s="70">
        <f ca="1">Wwp+(Wfc-Wwp)*(S243-AJ243)/S243</f>
        <v>0.399999996034034</v>
      </c>
      <c r="AQ243" s="70"/>
      <c r="AR243" s="70"/>
      <c r="AS243" s="70"/>
      <c r="AT243" s="70"/>
      <c r="AU243" s="70">
        <f ca="1">MIN((1-G243),fw)</f>
        <v>0</v>
      </c>
      <c r="AV243" s="70">
        <f ca="1" t="shared" si="38"/>
        <v>0</v>
      </c>
      <c r="AW243" s="70">
        <f ca="1">MIN((TEW-Y243)/(TEW-REW),1)</f>
        <v>0.123380736030491</v>
      </c>
      <c r="AX243" s="70">
        <f ca="1">MIN((TEW-Z243)/(TEW-REW),1)</f>
        <v>0.123380736030491</v>
      </c>
      <c r="AY243" s="70">
        <f ca="1">IF((AU243*(TEW-Y243))&gt;0,1/(1+((AV243*(TEW-Z243))/(AU243*(TEW-Y243)))),0)</f>
        <v>0</v>
      </c>
      <c r="AZ243" s="70">
        <f ca="1">MIN((AY243*AW243*(Kcmax-H243)),AU243*Kcmax)</f>
        <v>0</v>
      </c>
      <c r="BA243" s="70">
        <f ca="1">MIN(((1-AY243)*AX243*(Kcmax-H243)),AV243*Kcmax)</f>
        <v>0</v>
      </c>
      <c r="BB243" s="70">
        <f ca="1" t="shared" si="39"/>
        <v>0</v>
      </c>
      <c r="BC243" s="70">
        <f ca="1">MIN((R243-AA243)/(R243*(1-(p+0.04*(5-I242)))),1)</f>
        <v>1</v>
      </c>
      <c r="BD243" s="10">
        <f ca="1" t="shared" si="40"/>
        <v>3.37666040495103</v>
      </c>
      <c r="BE243" s="70">
        <f ca="1">MIN(IF((1-AA243/R243)&gt;0,(1-Y243/TEW)/(1-AA243/R243)*(Ze/P243)^0.6,0),1)*BC243*H243*B243</f>
        <v>1.38962005474679</v>
      </c>
      <c r="BF243" s="70">
        <f ca="1">MIN(IF((1-AA243/R243)&gt;0,(1-Z243/TEW)/(1-AA243/R243)*(Ze/P243)^0.6,0),1)*BC243*H243*B243</f>
        <v>1.38962005474679</v>
      </c>
      <c r="BH243" s="10">
        <f ca="1" t="shared" si="41"/>
        <v>0.203063426913236</v>
      </c>
      <c r="BI243" s="10">
        <f ca="1">IF(F243&lt;&gt;"",(Moy_Etobs-F243)^2,"")</f>
        <v>4.92135813485646</v>
      </c>
    </row>
    <row r="244" spans="1:61">
      <c r="A244" s="38">
        <v>39237</v>
      </c>
      <c r="B244" s="10">
        <v>1.275</v>
      </c>
      <c r="C244" s="39">
        <v>12.474</v>
      </c>
      <c r="D244">
        <v>0.709</v>
      </c>
      <c r="E244" s="39">
        <v>0</v>
      </c>
      <c r="F244"/>
      <c r="G244" s="10">
        <f ca="1">MIN(MAX(IF(AND(Durpla&gt;ROW()-MATCH(NDVImax,INDEX(D:D,Lig_min,1):INDEX(D:D,Lig_max,1),0)-Lig_min+1,ROW()-MATCH(NDVImax,INDEX(D:D,Lig_min,1):INDEX(D:D,Lig_max,1),0)-Lig_min+1&gt;0,D244*a_fc+b_fc&gt;fc_fin),NDVImax*a_fc+b_fc,D244*a_fc+b_fc),0),1)</f>
        <v>1</v>
      </c>
      <c r="H244" s="55">
        <f>MIN(MAX(D244*a_kcb+b_kcb,0),Kcmax)</f>
        <v>0.840210176324602</v>
      </c>
      <c r="I244" s="70">
        <f ca="1" t="shared" si="33"/>
        <v>1.07126797481387</v>
      </c>
      <c r="O244" s="55"/>
      <c r="P244" s="35">
        <f ca="1">IF(ROW()-MATCH(NDVImax,INDEX(D:D,Lig_min,1):INDEX(D:D,Lig_max,1),0)-Lig_min+1&gt;0,MAX(MIN(Zr_min+MAX(INDEX(G:G,Lig_min,1):INDEX(G:G,Lig_max,1))/MAX(MAX(INDEX(G:G,Lig_min,1):INDEX(G:G,Lig_max,1)),Max_fc_pour_Zrmax)*(Zr_max-Zr_min),Zr_max),Ze+0.001),MAX(MIN(Zr_min+G244/MAX(MAX(INDEX(G:G,Lig_min,1):INDEX(G:G,Lig_max,1)),Max_fc_pour_Zrmax)*(Zr_max-Zr_min),Zr_max),Ze+0.001))</f>
        <v>595.55606968994</v>
      </c>
      <c r="Q244" s="35">
        <f ca="1">IF(Z_sol&gt;0,Z_sol-P244,0.1)</f>
        <v>18.318481374494</v>
      </c>
      <c r="R244" s="35">
        <f ca="1">(Wfc-Wwp)*P244</f>
        <v>77.4222890596922</v>
      </c>
      <c r="S244" s="35">
        <f ca="1">(Wfc-Wwp)*Q244</f>
        <v>2.38140257868422</v>
      </c>
      <c r="T244" s="99">
        <f ca="1" t="shared" si="42"/>
        <v>2.40396104344203</v>
      </c>
      <c r="U244" s="99">
        <f ca="1" t="shared" si="43"/>
        <v>2.40396104344203</v>
      </c>
      <c r="V244" s="99">
        <f ca="1">IF(P244&gt;P243,IF(Q244&gt;1,MAX(AI243+(Wfc-Wwp)*(P244-P243)*AJ243/S243,0),AI243/P243*P244),MAX(AI243+(Wfc-Wwp)*(P244-P243)*AI243/R243,0))</f>
        <v>9.3257758706095</v>
      </c>
      <c r="W244" s="99">
        <f ca="1">IF(S244&gt;1,IF(P244&gt;P243,MAX(AJ243-(Wfc-Wwp)*(P244-P243)*AJ243/S243,0),MAX(AJ243-(Wfc-Wwp)*(P244-P243)*AI243/R243,0)),0)</f>
        <v>7.26504820263466e-8</v>
      </c>
      <c r="X244" s="99">
        <f ca="1">IF(AND(OR(AND(dec_vide_TAW&lt;0,V244&gt;R244*(p+0.04*(5-I243))),AND(dec_vide_TAW&gt;0,V244&gt;R244*dec_vide_TAW)),H244&gt;MAX(INDEX(H:H,Lig_min,1):INDEX(H:H,ROW(X244),1))*Kcbmax_stop_irrig*IF(ROW(X244)-lig_kcbmax&gt;0,1,0),MIN(INDEX(H:H,ROW(X244),1):INDEX(H:H,lig_kcbmax,1))&gt;Kcbmin_start_irrig),MIN(MAX(V244-E244*Irri_man-C244,0),Lame_max),0)</f>
        <v>0</v>
      </c>
      <c r="Y244" s="99">
        <f ca="1">MIN(MAX(T244-C244-IF(fw&gt;0,X244/fw*Irri_auto+E244/fw*Irri_man,0),0),TEW)</f>
        <v>0</v>
      </c>
      <c r="Z244" s="99">
        <f ca="1">MIN(MAX(U244-C244,0),TEW)</f>
        <v>0</v>
      </c>
      <c r="AA244" s="99">
        <f ca="1">MIN(MAX(V244-C244-(X244*Irri_auto+E244*Irri_man),0),R244)</f>
        <v>0</v>
      </c>
      <c r="AB244" s="99">
        <f ca="1">MIN(MAX(W244+MIN(V244-C244-(X244*Irri_auto+E244*Irri_man),0),0),S244)</f>
        <v>0</v>
      </c>
      <c r="AC244" s="99">
        <f ca="1">-MIN(W244+MIN(V244-C244-(X244*Irri_auto+E244*Irri_man),0),0)</f>
        <v>3.14822405674001</v>
      </c>
      <c r="AD244" s="39">
        <f ca="1">IF(((R244-AA244)/P244-((Wfc-Wwp)*Ze-Y244)/Ze)/Wfc*DiffE&lt;0,MAX(((R244-AA244)/P244-((Wfc-Wwp)*Ze-Y244)/Ze)/Wfc*DiffE,(R244*Ze-((Wfc-Wwp)*Ze-Y244-AA244)*P244)/(P244+Ze)-AA244),MIN(((R244-AA244)/P244-((Wfc-Wwp)*Ze-Y244)/Ze)/Wfc*DiffE,(R244*Ze-((Wfc-Wwp)*Ze-Y244-AA244)*P244)/(P244+Ze)-AA244))</f>
        <v>0</v>
      </c>
      <c r="AE244" s="39">
        <f ca="1">IF(((R244-AA244)/P244-((Wfc-Wwp)*Ze-Z244)/Ze)/Wfc*DiffE&lt;0,MAX(((R244-AA244)/P244-((Wfc-Wwp)*Ze-Z244)/Ze)/Wfc*DiffE,(R244*Ze-((Wfc-Wwp)*Ze-Z244-AA244)*P244)/(P244+Ze)-AA244),MIN(((R244-AA244)/P244-((Wfc-Wwp)*Ze-Z244)/Ze)/Wfc*DiffE,(R244*Ze-((Wfc-Wwp)*Ze-Z244-AA244)*P244)/(P244+Ze)-AA244))</f>
        <v>0</v>
      </c>
      <c r="AF244" s="39">
        <f ca="1">IF(((S244-AB244)/Q244-(R244-AA244)/P244)/Wfc*DiffR&lt;0,MAX(((S244-AB244)/Q244-(R244-AA244)/P244)/Wfc*DiffR,(S244*P244-(R244-AA244-AB244)*Q244)/(P244+Q244)-AB244),MIN(((S244-AB244)/Q244-(R244-AA244)/P244)/Wfc*DiffR,(S244*P244-(R244-AA244-AB244)*Q244)/(P244+Q244)-AB244))</f>
        <v>0</v>
      </c>
      <c r="AG244" s="99">
        <f ca="1">MIN(MAX(Y244+IF(AU244&gt;0,B244*AZ244/AU244,0)+BE244-AD244,0),TEW)</f>
        <v>0.419846499643001</v>
      </c>
      <c r="AH244" s="99">
        <f ca="1">MIN(MAX(Z244+IF(AV244&gt;0,B244*BA244/AV244,0)+BF244-AE244,0),TEW)</f>
        <v>0.419846499643001</v>
      </c>
      <c r="AI244" s="99">
        <f ca="1" t="shared" si="34"/>
        <v>1.07126797481387</v>
      </c>
      <c r="AJ244" s="99">
        <f ca="1" t="shared" si="35"/>
        <v>0</v>
      </c>
      <c r="AK244" s="70">
        <f ca="1">IF((AU244+AV244)&gt;0,(TEW-(AG244*AU244+AH244*AV244)/(AU244+AV244))/TEW,(TEW-(AG244+AH244)/2)/TEW)</f>
        <v>0.987325388690023</v>
      </c>
      <c r="AL244" s="70">
        <f ca="1" t="shared" si="36"/>
        <v>0.986163313073992</v>
      </c>
      <c r="AM244" s="70">
        <f ca="1" t="shared" si="37"/>
        <v>1</v>
      </c>
      <c r="AN244" s="70">
        <f ca="1">Wwp+(Wfc-Wwp)*IF((AU244+AV244)&gt;0,(TEW-(AG244*AU244+AH244*AV244)/(AU244+AV244))/TEW,(TEW-(AG244+AH244)/2)/TEW)</f>
        <v>0.398352300529703</v>
      </c>
      <c r="AO244" s="70">
        <f ca="1">Wwp+(Wfc-Wwp)*(R244-AI244)/R244</f>
        <v>0.398201230699619</v>
      </c>
      <c r="AP244" s="70">
        <f ca="1">Wwp+(Wfc-Wwp)*(S244-AJ244)/S244</f>
        <v>0.4</v>
      </c>
      <c r="AQ244" s="70"/>
      <c r="AR244" s="70"/>
      <c r="AS244" s="70"/>
      <c r="AT244" s="70"/>
      <c r="AU244" s="70">
        <f ca="1">MIN((1-G244),fw)</f>
        <v>0</v>
      </c>
      <c r="AV244" s="70">
        <f ca="1" t="shared" si="38"/>
        <v>0</v>
      </c>
      <c r="AW244" s="70">
        <f ca="1">MIN((TEW-Y244)/(TEW-REW),1)</f>
        <v>0.12727820001996</v>
      </c>
      <c r="AX244" s="70">
        <f ca="1">MIN((TEW-Z244)/(TEW-REW),1)</f>
        <v>0.12727820001996</v>
      </c>
      <c r="AY244" s="70">
        <f ca="1">IF((AU244*(TEW-Y244))&gt;0,1/(1+((AV244*(TEW-Z244))/(AU244*(TEW-Y244)))),0)</f>
        <v>0</v>
      </c>
      <c r="AZ244" s="70">
        <f ca="1">MIN((AY244*AW244*(Kcmax-H244)),AU244*Kcmax)</f>
        <v>0</v>
      </c>
      <c r="BA244" s="70">
        <f ca="1">MIN(((1-AY244)*AX244*(Kcmax-H244)),AV244*Kcmax)</f>
        <v>0</v>
      </c>
      <c r="BB244" s="70">
        <f ca="1" t="shared" si="39"/>
        <v>0</v>
      </c>
      <c r="BC244" s="70">
        <f ca="1">MIN((R244-AA244)/(R244*(1-(p+0.04*(5-I243)))),1)</f>
        <v>1</v>
      </c>
      <c r="BD244" s="10">
        <f ca="1" t="shared" si="40"/>
        <v>1.07126797481387</v>
      </c>
      <c r="BE244" s="70">
        <f ca="1">MIN(IF((1-AA244/R244)&gt;0,(1-Y244/TEW)/(1-AA244/R244)*(Ze/P244)^0.6,0),1)*BC244*H244*B244</f>
        <v>0.419846499643001</v>
      </c>
      <c r="BF244" s="70">
        <f ca="1">MIN(IF((1-AA244/R244)&gt;0,(1-Z244/TEW)/(1-AA244/R244)*(Ze/P244)^0.6,0),1)*BC244*H244*B244</f>
        <v>0.419846499643001</v>
      </c>
      <c r="BH244" s="10" t="str">
        <f ca="1" t="shared" si="41"/>
        <v/>
      </c>
      <c r="BI244" s="10" t="str">
        <f ca="1">IF(F244&lt;&gt;"",(Moy_Etobs-F244)^2,"")</f>
        <v/>
      </c>
    </row>
    <row r="245" spans="1:61">
      <c r="A245" s="38">
        <v>39238</v>
      </c>
      <c r="B245" s="10">
        <v>3.393</v>
      </c>
      <c r="C245" s="39">
        <v>0</v>
      </c>
      <c r="D245">
        <v>0.694</v>
      </c>
      <c r="E245" s="39">
        <v>0</v>
      </c>
      <c r="F245" s="10">
        <v>2.9122218</v>
      </c>
      <c r="G245" s="10">
        <f ca="1">MIN(MAX(IF(AND(Durpla&gt;ROW()-MATCH(NDVImax,INDEX(D:D,Lig_min,1):INDEX(D:D,Lig_max,1),0)-Lig_min+1,ROW()-MATCH(NDVImax,INDEX(D:D,Lig_min,1):INDEX(D:D,Lig_max,1),0)-Lig_min+1&gt;0,D245*a_fc+b_fc&gt;fc_fin),NDVImax*a_fc+b_fc,D245*a_fc+b_fc),0),1)</f>
        <v>1</v>
      </c>
      <c r="H245" s="55">
        <f>MIN(MAX(D245*a_kcb+b_kcb,0),Kcmax)</f>
        <v>0.817664286083334</v>
      </c>
      <c r="I245" s="70">
        <f ca="1" t="shared" si="33"/>
        <v>2.77433492268075</v>
      </c>
      <c r="O245" s="55"/>
      <c r="P245" s="35">
        <f ca="1">IF(ROW()-MATCH(NDVImax,INDEX(D:D,Lig_min,1):INDEX(D:D,Lig_max,1),0)-Lig_min+1&gt;0,MAX(MIN(Zr_min+MAX(INDEX(G:G,Lig_min,1):INDEX(G:G,Lig_max,1))/MAX(MAX(INDEX(G:G,Lig_min,1):INDEX(G:G,Lig_max,1)),Max_fc_pour_Zrmax)*(Zr_max-Zr_min),Zr_max),Ze+0.001),MAX(MIN(Zr_min+G245/MAX(MAX(INDEX(G:G,Lig_min,1):INDEX(G:G,Lig_max,1)),Max_fc_pour_Zrmax)*(Zr_max-Zr_min),Zr_max),Ze+0.001))</f>
        <v>595.55606968994</v>
      </c>
      <c r="Q245" s="35">
        <f ca="1">IF(Z_sol&gt;0,Z_sol-P245,0.1)</f>
        <v>18.318481374494</v>
      </c>
      <c r="R245" s="35">
        <f ca="1">(Wfc-Wwp)*P245</f>
        <v>77.4222890596922</v>
      </c>
      <c r="S245" s="35">
        <f ca="1">(Wfc-Wwp)*Q245</f>
        <v>2.38140257868422</v>
      </c>
      <c r="T245" s="99">
        <f ca="1" t="shared" si="42"/>
        <v>0.419846499643001</v>
      </c>
      <c r="U245" s="99">
        <f ca="1" t="shared" si="43"/>
        <v>0.419846499643001</v>
      </c>
      <c r="V245" s="99">
        <f ca="1">IF(P245&gt;P244,IF(Q245&gt;1,MAX(AI244+(Wfc-Wwp)*(P245-P244)*AJ244/S244,0),AI244/P244*P245),MAX(AI244+(Wfc-Wwp)*(P245-P244)*AI244/R244,0))</f>
        <v>1.07126797481387</v>
      </c>
      <c r="W245" s="99">
        <f ca="1">IF(S245&gt;1,IF(P245&gt;P244,MAX(AJ244-(Wfc-Wwp)*(P245-P244)*AJ244/S244,0),MAX(AJ244-(Wfc-Wwp)*(P245-P244)*AI244/R244,0)),0)</f>
        <v>0</v>
      </c>
      <c r="X245" s="99">
        <f ca="1">IF(AND(OR(AND(dec_vide_TAW&lt;0,V245&gt;R245*(p+0.04*(5-I244))),AND(dec_vide_TAW&gt;0,V245&gt;R245*dec_vide_TAW)),H245&gt;MAX(INDEX(H:H,Lig_min,1):INDEX(H:H,ROW(X245),1))*Kcbmax_stop_irrig*IF(ROW(X245)-lig_kcbmax&gt;0,1,0),MIN(INDEX(H:H,ROW(X245),1):INDEX(H:H,lig_kcbmax,1))&gt;Kcbmin_start_irrig),MIN(MAX(V245-E245*Irri_man-C245,0),Lame_max),0)</f>
        <v>0</v>
      </c>
      <c r="Y245" s="99">
        <f ca="1">MIN(MAX(T245-C245-IF(fw&gt;0,X245/fw*Irri_auto+E245/fw*Irri_man,0),0),TEW)</f>
        <v>0.419846499643001</v>
      </c>
      <c r="Z245" s="99">
        <f ca="1">MIN(MAX(U245-C245,0),TEW)</f>
        <v>0.419846499643001</v>
      </c>
      <c r="AA245" s="99">
        <f ca="1">MIN(MAX(V245-C245-(X245*Irri_auto+E245*Irri_man),0),R245)</f>
        <v>1.07126797481387</v>
      </c>
      <c r="AB245" s="99">
        <f ca="1">MIN(MAX(W245+MIN(V245-C245-(X245*Irri_auto+E245*Irri_man),0),0),S245)</f>
        <v>0</v>
      </c>
      <c r="AC245" s="99">
        <f ca="1">-MIN(W245+MIN(V245-C245-(X245*Irri_auto+E245*Irri_man),0),0)</f>
        <v>0</v>
      </c>
      <c r="AD245" s="39">
        <f ca="1">IF(((R245-AA245)/P245-((Wfc-Wwp)*Ze-Y245)/Ze)/Wfc*DiffE&lt;0,MAX(((R245-AA245)/P245-((Wfc-Wwp)*Ze-Y245)/Ze)/Wfc*DiffE,(R245*Ze-((Wfc-Wwp)*Ze-Y245-AA245)*P245)/(P245+Ze)-AA245),MIN(((R245-AA245)/P245-((Wfc-Wwp)*Ze-Y245)/Ze)/Wfc*DiffE,(R245*Ze-((Wfc-Wwp)*Ze-Y245-AA245)*P245)/(P245+Ze)-AA245))</f>
        <v>3.90000674190739e-9</v>
      </c>
      <c r="AE245" s="39">
        <f ca="1">IF(((R245-AA245)/P245-((Wfc-Wwp)*Ze-Z245)/Ze)/Wfc*DiffE&lt;0,MAX(((R245-AA245)/P245-((Wfc-Wwp)*Ze-Z245)/Ze)/Wfc*DiffE,(R245*Ze-((Wfc-Wwp)*Ze-Z245-AA245)*P245)/(P245+Ze)-AA245),MIN(((R245-AA245)/P245-((Wfc-Wwp)*Ze-Z245)/Ze)/Wfc*DiffE,(R245*Ze-((Wfc-Wwp)*Ze-Z245-AA245)*P245)/(P245+Ze)-AA245))</f>
        <v>3.90000674190739e-9</v>
      </c>
      <c r="AF245" s="39">
        <f ca="1">IF(((S245-AB245)/Q245-(R245-AA245)/P245)/Wfc*DiffR&lt;0,MAX(((S245-AB245)/Q245-(R245-AA245)/P245)/Wfc*DiffR,(S245*P245-(R245-AA245-AB245)*Q245)/(P245+Q245)-AB245),MIN(((S245-AB245)/Q245-(R245-AA245)/P245)/Wfc*DiffR,(S245*P245-(R245-AA245-AB245)*Q245)/(P245+Q245)-AB245))</f>
        <v>4.49692325095265e-9</v>
      </c>
      <c r="AG245" s="99">
        <f ca="1">MIN(MAX(Y245+IF(AU245&gt;0,B245*AZ245/AU245,0)+BE245-AD245,0),TEW)</f>
        <v>1.50843254986381</v>
      </c>
      <c r="AH245" s="99">
        <f ca="1">MIN(MAX(Z245+IF(AV245&gt;0,B245*BA245/AV245,0)+BF245-AE245,0),TEW)</f>
        <v>1.50843254986381</v>
      </c>
      <c r="AI245" s="99">
        <f ca="1" t="shared" si="34"/>
        <v>3.8456028929977</v>
      </c>
      <c r="AJ245" s="99">
        <f ca="1" t="shared" si="35"/>
        <v>4.49692325095265e-9</v>
      </c>
      <c r="AK245" s="70">
        <f ca="1">IF((AU245+AV245)&gt;0,(TEW-(AG245*AU245+AH245*AV245)/(AU245+AV245))/TEW,(TEW-(AG245+AH245)/2)/TEW)</f>
        <v>0.954462413589017</v>
      </c>
      <c r="AL245" s="70">
        <f ca="1" t="shared" si="36"/>
        <v>0.950329511827883</v>
      </c>
      <c r="AM245" s="70">
        <f ca="1" t="shared" si="37"/>
        <v>0.999999998111649</v>
      </c>
      <c r="AN245" s="70">
        <f ca="1">Wwp+(Wfc-Wwp)*IF((AU245+AV245)&gt;0,(TEW-(AG245*AU245+AH245*AV245)/(AU245+AV245))/TEW,(TEW-(AG245+AH245)/2)/TEW)</f>
        <v>0.394080113766572</v>
      </c>
      <c r="AO245" s="70">
        <f ca="1">Wwp+(Wfc-Wwp)*(R245-AI245)/R245</f>
        <v>0.393542836537625</v>
      </c>
      <c r="AP245" s="70">
        <f ca="1">Wwp+(Wfc-Wwp)*(S245-AJ245)/S245</f>
        <v>0.399999999754514</v>
      </c>
      <c r="AQ245" s="70"/>
      <c r="AR245" s="70"/>
      <c r="AS245" s="70"/>
      <c r="AT245" s="70"/>
      <c r="AU245" s="70">
        <f ca="1">MIN((1-G245),fw)</f>
        <v>0</v>
      </c>
      <c r="AV245" s="70">
        <f ca="1" t="shared" si="38"/>
        <v>0</v>
      </c>
      <c r="AW245" s="70">
        <f ca="1">MIN((TEW-Y245)/(TEW-REW),1)</f>
        <v>0.125664998306474</v>
      </c>
      <c r="AX245" s="70">
        <f ca="1">MIN((TEW-Z245)/(TEW-REW),1)</f>
        <v>0.125664998306474</v>
      </c>
      <c r="AY245" s="70">
        <f ca="1">IF((AU245*(TEW-Y245))&gt;0,1/(1+((AV245*(TEW-Z245))/(AU245*(TEW-Y245)))),0)</f>
        <v>0</v>
      </c>
      <c r="AZ245" s="70">
        <f ca="1">MIN((AY245*AW245*(Kcmax-H245)),AU245*Kcmax)</f>
        <v>0</v>
      </c>
      <c r="BA245" s="70">
        <f ca="1">MIN(((1-AY245)*AX245*(Kcmax-H245)),AV245*Kcmax)</f>
        <v>0</v>
      </c>
      <c r="BB245" s="70">
        <f ca="1" t="shared" si="39"/>
        <v>0</v>
      </c>
      <c r="BC245" s="70">
        <f ca="1">MIN((R245-AA245)/(R245*(1-(p+0.04*(5-I244)))),1)</f>
        <v>1</v>
      </c>
      <c r="BD245" s="10">
        <f ca="1" t="shared" si="40"/>
        <v>2.77433492268075</v>
      </c>
      <c r="BE245" s="70">
        <f ca="1">MIN(IF((1-AA245/R245)&gt;0,(1-Y245/TEW)/(1-AA245/R245)*(Ze/P245)^0.6,0),1)*BC245*H245*B245</f>
        <v>1.08858605412082</v>
      </c>
      <c r="BF245" s="70">
        <f ca="1">MIN(IF((1-AA245/R245)&gt;0,(1-Z245/TEW)/(1-AA245/R245)*(Ze/P245)^0.6,0),1)*BC245*H245*B245</f>
        <v>1.08858605412082</v>
      </c>
      <c r="BH245" s="10">
        <f ca="1" t="shared" si="41"/>
        <v>0.0190127909368536</v>
      </c>
      <c r="BI245" s="10">
        <f ca="1">IF(F245&lt;&gt;"",(Moy_Etobs-F245)^2,"")</f>
        <v>1.69871920855704</v>
      </c>
    </row>
    <row r="246" spans="1:61">
      <c r="A246" s="38">
        <v>39239</v>
      </c>
      <c r="B246" s="10">
        <v>2.676</v>
      </c>
      <c r="C246" s="39">
        <v>0.594</v>
      </c>
      <c r="D246">
        <v>0.678</v>
      </c>
      <c r="E246" s="39">
        <v>0</v>
      </c>
      <c r="F246" s="10">
        <v>2.2957704</v>
      </c>
      <c r="G246" s="10">
        <f ca="1">MIN(MAX(IF(AND(Durpla&gt;ROW()-MATCH(NDVImax,INDEX(D:D,Lig_min,1):INDEX(D:D,Lig_max,1),0)-Lig_min+1,ROW()-MATCH(NDVImax,INDEX(D:D,Lig_min,1):INDEX(D:D,Lig_max,1),0)-Lig_min+1&gt;0,D246*a_fc+b_fc&gt;fc_fin),NDVImax*a_fc+b_fc,D246*a_fc+b_fc),0),1)</f>
        <v>1</v>
      </c>
      <c r="H246" s="55">
        <f>MIN(MAX(D246*a_kcb+b_kcb,0),Kcmax)</f>
        <v>0.793615336492648</v>
      </c>
      <c r="I246" s="70">
        <f ca="1" t="shared" si="33"/>
        <v>2.12371464045433</v>
      </c>
      <c r="O246" s="55"/>
      <c r="P246" s="35">
        <f ca="1">IF(ROW()-MATCH(NDVImax,INDEX(D:D,Lig_min,1):INDEX(D:D,Lig_max,1),0)-Lig_min+1&gt;0,MAX(MIN(Zr_min+MAX(INDEX(G:G,Lig_min,1):INDEX(G:G,Lig_max,1))/MAX(MAX(INDEX(G:G,Lig_min,1):INDEX(G:G,Lig_max,1)),Max_fc_pour_Zrmax)*(Zr_max-Zr_min),Zr_max),Ze+0.001),MAX(MIN(Zr_min+G246/MAX(MAX(INDEX(G:G,Lig_min,1):INDEX(G:G,Lig_max,1)),Max_fc_pour_Zrmax)*(Zr_max-Zr_min),Zr_max),Ze+0.001))</f>
        <v>595.55606968994</v>
      </c>
      <c r="Q246" s="35">
        <f ca="1">IF(Z_sol&gt;0,Z_sol-P246,0.1)</f>
        <v>18.318481374494</v>
      </c>
      <c r="R246" s="35">
        <f ca="1">(Wfc-Wwp)*P246</f>
        <v>77.4222890596922</v>
      </c>
      <c r="S246" s="35">
        <f ca="1">(Wfc-Wwp)*Q246</f>
        <v>2.38140257868422</v>
      </c>
      <c r="T246" s="99">
        <f ca="1" t="shared" si="42"/>
        <v>1.50843254986381</v>
      </c>
      <c r="U246" s="99">
        <f ca="1" t="shared" si="43"/>
        <v>1.50843254986381</v>
      </c>
      <c r="V246" s="99">
        <f ca="1">IF(P246&gt;P245,IF(Q246&gt;1,MAX(AI245+(Wfc-Wwp)*(P246-P245)*AJ245/S245,0),AI245/P245*P246),MAX(AI245+(Wfc-Wwp)*(P246-P245)*AI245/R245,0))</f>
        <v>3.8456028929977</v>
      </c>
      <c r="W246" s="99">
        <f ca="1">IF(S246&gt;1,IF(P246&gt;P245,MAX(AJ245-(Wfc-Wwp)*(P246-P245)*AJ245/S245,0),MAX(AJ245-(Wfc-Wwp)*(P246-P245)*AI245/R245,0)),0)</f>
        <v>4.49692325095265e-9</v>
      </c>
      <c r="X246" s="99">
        <f ca="1">IF(AND(OR(AND(dec_vide_TAW&lt;0,V246&gt;R246*(p+0.04*(5-I245))),AND(dec_vide_TAW&gt;0,V246&gt;R246*dec_vide_TAW)),H246&gt;MAX(INDEX(H:H,Lig_min,1):INDEX(H:H,ROW(X246),1))*Kcbmax_stop_irrig*IF(ROW(X246)-lig_kcbmax&gt;0,1,0),MIN(INDEX(H:H,ROW(X246),1):INDEX(H:H,lig_kcbmax,1))&gt;Kcbmin_start_irrig),MIN(MAX(V246-E246*Irri_man-C246,0),Lame_max),0)</f>
        <v>0</v>
      </c>
      <c r="Y246" s="99">
        <f ca="1">MIN(MAX(T246-C246-IF(fw&gt;0,X246/fw*Irri_auto+E246/fw*Irri_man,0),0),TEW)</f>
        <v>0.914432549863815</v>
      </c>
      <c r="Z246" s="99">
        <f ca="1">MIN(MAX(U246-C246,0),TEW)</f>
        <v>0.914432549863815</v>
      </c>
      <c r="AA246" s="99">
        <f ca="1">MIN(MAX(V246-C246-(X246*Irri_auto+E246*Irri_man),0),R246)</f>
        <v>3.2516028929977</v>
      </c>
      <c r="AB246" s="99">
        <f ca="1">MIN(MAX(W246+MIN(V246-C246-(X246*Irri_auto+E246*Irri_man),0),0),S246)</f>
        <v>4.49692325095265e-9</v>
      </c>
      <c r="AC246" s="99">
        <f ca="1">-MIN(W246+MIN(V246-C246-(X246*Irri_auto+E246*Irri_man),0),0)</f>
        <v>0</v>
      </c>
      <c r="AD246" s="39">
        <f ca="1">IF(((R246-AA246)/P246-((Wfc-Wwp)*Ze-Y246)/Ze)/Wfc*DiffE&lt;0,MAX(((R246-AA246)/P246-((Wfc-Wwp)*Ze-Y246)/Ze)/Wfc*DiffE,(R246*Ze-((Wfc-Wwp)*Ze-Y246-AA246)*P246)/(P246+Ze)-AA246),MIN(((R246-AA246)/P246-((Wfc-Wwp)*Ze-Y246)/Ze)/Wfc*DiffE,(R246*Ze-((Wfc-Wwp)*Ze-Y246-AA246)*P246)/(P246+Ze)-AA246))</f>
        <v>4.63921033801749e-9</v>
      </c>
      <c r="AE246" s="39">
        <f ca="1">IF(((R246-AA246)/P246-((Wfc-Wwp)*Ze-Z246)/Ze)/Wfc*DiffE&lt;0,MAX(((R246-AA246)/P246-((Wfc-Wwp)*Ze-Z246)/Ze)/Wfc*DiffE,(R246*Ze-((Wfc-Wwp)*Ze-Z246-AA246)*P246)/(P246+Ze)-AA246),MIN(((R246-AA246)/P246-((Wfc-Wwp)*Ze-Z246)/Ze)/Wfc*DiffE,(R246*Ze-((Wfc-Wwp)*Ze-Z246-AA246)*P246)/(P246+Ze)-AA246))</f>
        <v>4.63921033801749e-9</v>
      </c>
      <c r="AF246" s="39">
        <f ca="1">IF(((S246-AB246)/Q246-(R246-AA246)/P246)/Wfc*DiffR&lt;0,MAX(((S246-AB246)/Q246-(R246-AA246)/P246)/Wfc*DiffR,(S246*P246-(R246-AA246-AB246)*Q246)/(P246+Q246)-AB246),MIN(((S246-AB246)/Q246-(R246-AA246)/P246)/Wfc*DiffR,(S246*P246-(R246-AA246-AB246)*Q246)/(P246+Q246)-AB246))</f>
        <v>1.36494400455449e-8</v>
      </c>
      <c r="AG246" s="99">
        <f ca="1">MIN(MAX(Y246+IF(AU246&gt;0,B246*AZ246/AU246,0)+BE246-AD246,0),TEW)</f>
        <v>1.7592536902296</v>
      </c>
      <c r="AH246" s="99">
        <f ca="1">MIN(MAX(Z246+IF(AV246&gt;0,B246*BA246/AV246,0)+BF246-AE246,0),TEW)</f>
        <v>1.7592536902296</v>
      </c>
      <c r="AI246" s="99">
        <f ca="1" t="shared" si="34"/>
        <v>5.37531751980258</v>
      </c>
      <c r="AJ246" s="99">
        <f ca="1" t="shared" si="35"/>
        <v>1.81463632964975e-8</v>
      </c>
      <c r="AK246" s="70">
        <f ca="1">IF((AU246+AV246)&gt;0,(TEW-(AG246*AU246+AH246*AV246)/(AU246+AV246))/TEW,(TEW-(AG246+AH246)/2)/TEW)</f>
        <v>0.946890454634578</v>
      </c>
      <c r="AL246" s="70">
        <f ca="1" t="shared" si="36"/>
        <v>0.930571446735988</v>
      </c>
      <c r="AM246" s="70">
        <f ca="1" t="shared" si="37"/>
        <v>0.999999992379968</v>
      </c>
      <c r="AN246" s="70">
        <f ca="1">Wwp+(Wfc-Wwp)*IF((AU246+AV246)&gt;0,(TEW-(AG246*AU246+AH246*AV246)/(AU246+AV246))/TEW,(TEW-(AG246+AH246)/2)/TEW)</f>
        <v>0.393095759102495</v>
      </c>
      <c r="AO246" s="70">
        <f ca="1">Wwp+(Wfc-Wwp)*(R246-AI246)/R246</f>
        <v>0.390974288075678</v>
      </c>
      <c r="AP246" s="70">
        <f ca="1">Wwp+(Wfc-Wwp)*(S246-AJ246)/S246</f>
        <v>0.399999999009396</v>
      </c>
      <c r="AQ246" s="70"/>
      <c r="AR246" s="70"/>
      <c r="AS246" s="70"/>
      <c r="AT246" s="70"/>
      <c r="AU246" s="70">
        <f ca="1">MIN((1-G246),fw)</f>
        <v>0</v>
      </c>
      <c r="AV246" s="70">
        <f ca="1" t="shared" si="38"/>
        <v>0</v>
      </c>
      <c r="AW246" s="70">
        <f ca="1">MIN((TEW-Y246)/(TEW-REW),1)</f>
        <v>0.123764620276977</v>
      </c>
      <c r="AX246" s="70">
        <f ca="1">MIN((TEW-Z246)/(TEW-REW),1)</f>
        <v>0.123764620276977</v>
      </c>
      <c r="AY246" s="70">
        <f ca="1">IF((AU246*(TEW-Y246))&gt;0,1/(1+((AV246*(TEW-Z246))/(AU246*(TEW-Y246)))),0)</f>
        <v>0</v>
      </c>
      <c r="AZ246" s="70">
        <f ca="1">MIN((AY246*AW246*(Kcmax-H246)),AU246*Kcmax)</f>
        <v>0</v>
      </c>
      <c r="BA246" s="70">
        <f ca="1">MIN(((1-AY246)*AX246*(Kcmax-H246)),AV246*Kcmax)</f>
        <v>0</v>
      </c>
      <c r="BB246" s="70">
        <f ca="1" t="shared" si="39"/>
        <v>0</v>
      </c>
      <c r="BC246" s="70">
        <f ca="1">MIN((R246-AA246)/(R246*(1-(p+0.04*(5-I245)))),1)</f>
        <v>1</v>
      </c>
      <c r="BD246" s="10">
        <f ca="1" t="shared" si="40"/>
        <v>2.12371464045433</v>
      </c>
      <c r="BE246" s="70">
        <f ca="1">MIN(IF((1-AA246/R246)&gt;0,(1-Y246/TEW)/(1-AA246/R246)*(Ze/P246)^0.6,0),1)*BC246*H246*B246</f>
        <v>0.844821145004991</v>
      </c>
      <c r="BF246" s="70">
        <f ca="1">MIN(IF((1-AA246/R246)&gt;0,(1-Z246/TEW)/(1-AA246/R246)*(Ze/P246)^0.6,0),1)*BC246*H246*B246</f>
        <v>0.844821145004991</v>
      </c>
      <c r="BH246" s="10">
        <f ca="1" t="shared" si="41"/>
        <v>0.0296031843928389</v>
      </c>
      <c r="BI246" s="10">
        <f ca="1">IF(F246&lt;&gt;"",(Moy_Etobs-F246)^2,"")</f>
        <v>0.471828625283077</v>
      </c>
    </row>
    <row r="247" spans="1:61">
      <c r="A247" s="38">
        <v>39240</v>
      </c>
      <c r="B247" s="10">
        <v>4.431</v>
      </c>
      <c r="C247" s="39">
        <v>0.198</v>
      </c>
      <c r="D247">
        <v>0.662</v>
      </c>
      <c r="E247" s="39">
        <v>0</v>
      </c>
      <c r="F247" s="10">
        <v>3.3036138</v>
      </c>
      <c r="G247" s="10">
        <f ca="1">MIN(MAX(IF(AND(Durpla&gt;ROW()-MATCH(NDVImax,INDEX(D:D,Lig_min,1):INDEX(D:D,Lig_max,1),0)-Lig_min+1,ROW()-MATCH(NDVImax,INDEX(D:D,Lig_min,1):INDEX(D:D,Lig_max,1),0)-Lig_min+1&gt;0,D247*a_fc+b_fc&gt;fc_fin),NDVImax*a_fc+b_fc,D247*a_fc+b_fc),0),1)</f>
        <v>1</v>
      </c>
      <c r="H247" s="55">
        <f>MIN(MAX(D247*a_kcb+b_kcb,0),Kcmax)</f>
        <v>0.769566386901961</v>
      </c>
      <c r="I247" s="70">
        <f ca="1" t="shared" si="33"/>
        <v>3.40994866036259</v>
      </c>
      <c r="O247" s="55"/>
      <c r="P247" s="35">
        <f ca="1">IF(ROW()-MATCH(NDVImax,INDEX(D:D,Lig_min,1):INDEX(D:D,Lig_max,1),0)-Lig_min+1&gt;0,MAX(MIN(Zr_min+MAX(INDEX(G:G,Lig_min,1):INDEX(G:G,Lig_max,1))/MAX(MAX(INDEX(G:G,Lig_min,1):INDEX(G:G,Lig_max,1)),Max_fc_pour_Zrmax)*(Zr_max-Zr_min),Zr_max),Ze+0.001),MAX(MIN(Zr_min+G247/MAX(MAX(INDEX(G:G,Lig_min,1):INDEX(G:G,Lig_max,1)),Max_fc_pour_Zrmax)*(Zr_max-Zr_min),Zr_max),Ze+0.001))</f>
        <v>595.55606968994</v>
      </c>
      <c r="Q247" s="35">
        <f ca="1">IF(Z_sol&gt;0,Z_sol-P247,0.1)</f>
        <v>18.318481374494</v>
      </c>
      <c r="R247" s="35">
        <f ca="1">(Wfc-Wwp)*P247</f>
        <v>77.4222890596922</v>
      </c>
      <c r="S247" s="35">
        <f ca="1">(Wfc-Wwp)*Q247</f>
        <v>2.38140257868422</v>
      </c>
      <c r="T247" s="99">
        <f ca="1" t="shared" si="42"/>
        <v>1.7592536902296</v>
      </c>
      <c r="U247" s="99">
        <f ca="1" t="shared" si="43"/>
        <v>1.7592536902296</v>
      </c>
      <c r="V247" s="99">
        <f ca="1">IF(P247&gt;P246,IF(Q247&gt;1,MAX(AI246+(Wfc-Wwp)*(P247-P246)*AJ246/S246,0),AI246/P246*P247),MAX(AI246+(Wfc-Wwp)*(P247-P246)*AI246/R246,0))</f>
        <v>5.37531751980258</v>
      </c>
      <c r="W247" s="99">
        <f ca="1">IF(S247&gt;1,IF(P247&gt;P246,MAX(AJ246-(Wfc-Wwp)*(P247-P246)*AJ246/S246,0),MAX(AJ246-(Wfc-Wwp)*(P247-P246)*AI246/R246,0)),0)</f>
        <v>1.81463632964975e-8</v>
      </c>
      <c r="X247" s="99">
        <f ca="1">IF(AND(OR(AND(dec_vide_TAW&lt;0,V247&gt;R247*(p+0.04*(5-I246))),AND(dec_vide_TAW&gt;0,V247&gt;R247*dec_vide_TAW)),H247&gt;MAX(INDEX(H:H,Lig_min,1):INDEX(H:H,ROW(X247),1))*Kcbmax_stop_irrig*IF(ROW(X247)-lig_kcbmax&gt;0,1,0),MIN(INDEX(H:H,ROW(X247),1):INDEX(H:H,lig_kcbmax,1))&gt;Kcbmin_start_irrig),MIN(MAX(V247-E247*Irri_man-C247,0),Lame_max),0)</f>
        <v>0</v>
      </c>
      <c r="Y247" s="99">
        <f ca="1">MIN(MAX(T247-C247-IF(fw&gt;0,X247/fw*Irri_auto+E247/fw*Irri_man,0),0),TEW)</f>
        <v>1.5612536902296</v>
      </c>
      <c r="Z247" s="99">
        <f ca="1">MIN(MAX(U247-C247,0),TEW)</f>
        <v>1.5612536902296</v>
      </c>
      <c r="AA247" s="99">
        <f ca="1">MIN(MAX(V247-C247-(X247*Irri_auto+E247*Irri_man),0),R247)</f>
        <v>5.17731751980258</v>
      </c>
      <c r="AB247" s="99">
        <f ca="1">MIN(MAX(W247+MIN(V247-C247-(X247*Irri_auto+E247*Irri_man),0),0),S247)</f>
        <v>1.81463632964975e-8</v>
      </c>
      <c r="AC247" s="99">
        <f ca="1">-MIN(W247+MIN(V247-C247-(X247*Irri_auto+E247*Irri_man),0),0)</f>
        <v>0</v>
      </c>
      <c r="AD247" s="39">
        <f ca="1">IF(((R247-AA247)/P247-((Wfc-Wwp)*Ze-Y247)/Ze)/Wfc*DiffE&lt;0,MAX(((R247-AA247)/P247-((Wfc-Wwp)*Ze-Y247)/Ze)/Wfc*DiffE,(R247*Ze-((Wfc-Wwp)*Ze-Y247-AA247)*P247)/(P247+Ze)-AA247),MIN(((R247-AA247)/P247-((Wfc-Wwp)*Ze-Y247)/Ze)/Wfc*DiffE,(R247*Ze-((Wfc-Wwp)*Ze-Y247-AA247)*P247)/(P247+Ze)-AA247))</f>
        <v>9.49194999268106e-9</v>
      </c>
      <c r="AE247" s="39">
        <f ca="1">IF(((R247-AA247)/P247-((Wfc-Wwp)*Ze-Z247)/Ze)/Wfc*DiffE&lt;0,MAX(((R247-AA247)/P247-((Wfc-Wwp)*Ze-Z247)/Ze)/Wfc*DiffE,(R247*Ze-((Wfc-Wwp)*Ze-Z247-AA247)*P247)/(P247+Ze)-AA247),MIN(((R247-AA247)/P247-((Wfc-Wwp)*Ze-Z247)/Ze)/Wfc*DiffE,(R247*Ze-((Wfc-Wwp)*Ze-Z247-AA247)*P247)/(P247+Ze)-AA247))</f>
        <v>9.49194999268106e-9</v>
      </c>
      <c r="AF247" s="39">
        <f ca="1">IF(((S247-AB247)/Q247-(R247-AA247)/P247)/Wfc*DiffR&lt;0,MAX(((S247-AB247)/Q247-(R247-AA247)/P247)/Wfc*DiffR,(S247*P247-(R247-AA247-AB247)*Q247)/(P247+Q247)-AB247),MIN(((S247-AB247)/Q247-(R247-AA247)/P247)/Wfc*DiffR,(S247*P247-(R247-AA247-AB247)*Q247)/(P247+Q247)-AB247))</f>
        <v>2.17331213354006e-8</v>
      </c>
      <c r="AG247" s="99">
        <f ca="1">MIN(MAX(Y247+IF(AU247&gt;0,B247*AZ247/AU247,0)+BE247-AD247,0),TEW)</f>
        <v>2.92593515322326</v>
      </c>
      <c r="AH247" s="99">
        <f ca="1">MIN(MAX(Z247+IF(AV247&gt;0,B247*BA247/AV247,0)+BF247-AE247,0),TEW)</f>
        <v>2.92593515322326</v>
      </c>
      <c r="AI247" s="99">
        <f ca="1" t="shared" si="34"/>
        <v>8.58726615843205</v>
      </c>
      <c r="AJ247" s="99">
        <f ca="1" t="shared" si="35"/>
        <v>3.98794846318981e-8</v>
      </c>
      <c r="AK247" s="70">
        <f ca="1">IF((AU247+AV247)&gt;0,(TEW-(AG247*AU247+AH247*AV247)/(AU247+AV247))/TEW,(TEW-(AG247+AH247)/2)/TEW)</f>
        <v>0.911669882166845</v>
      </c>
      <c r="AL247" s="70">
        <f ca="1" t="shared" si="36"/>
        <v>0.889085349158156</v>
      </c>
      <c r="AM247" s="70">
        <f ca="1" t="shared" si="37"/>
        <v>0.999999983253783</v>
      </c>
      <c r="AN247" s="70">
        <f ca="1">Wwp+(Wfc-Wwp)*IF((AU247+AV247)&gt;0,(TEW-(AG247*AU247+AH247*AV247)/(AU247+AV247))/TEW,(TEW-(AG247+AH247)/2)/TEW)</f>
        <v>0.38851708468169</v>
      </c>
      <c r="AO247" s="70">
        <f ca="1">Wwp+(Wfc-Wwp)*(R247-AI247)/R247</f>
        <v>0.38558109539056</v>
      </c>
      <c r="AP247" s="70">
        <f ca="1">Wwp+(Wfc-Wwp)*(S247-AJ247)/S247</f>
        <v>0.399999997822992</v>
      </c>
      <c r="AQ247" s="70"/>
      <c r="AR247" s="70"/>
      <c r="AS247" s="70"/>
      <c r="AT247" s="70"/>
      <c r="AU247" s="70">
        <f ca="1">MIN((1-G247),fw)</f>
        <v>0</v>
      </c>
      <c r="AV247" s="70">
        <f ca="1" t="shared" si="38"/>
        <v>0</v>
      </c>
      <c r="AW247" s="70">
        <f ca="1">MIN((TEW-Y247)/(TEW-REW),1)</f>
        <v>0.121279300111524</v>
      </c>
      <c r="AX247" s="70">
        <f ca="1">MIN((TEW-Z247)/(TEW-REW),1)</f>
        <v>0.121279300111524</v>
      </c>
      <c r="AY247" s="70">
        <f ca="1">IF((AU247*(TEW-Y247))&gt;0,1/(1+((AV247*(TEW-Z247))/(AU247*(TEW-Y247)))),0)</f>
        <v>0</v>
      </c>
      <c r="AZ247" s="70">
        <f ca="1">MIN((AY247*AW247*(Kcmax-H247)),AU247*Kcmax)</f>
        <v>0</v>
      </c>
      <c r="BA247" s="70">
        <f ca="1">MIN(((1-AY247)*AX247*(Kcmax-H247)),AV247*Kcmax)</f>
        <v>0</v>
      </c>
      <c r="BB247" s="70">
        <f ca="1" t="shared" si="39"/>
        <v>0</v>
      </c>
      <c r="BC247" s="70">
        <f ca="1">MIN((R247-AA247)/(R247*(1-(p+0.04*(5-I246)))),1)</f>
        <v>1</v>
      </c>
      <c r="BD247" s="10">
        <f ca="1" t="shared" si="40"/>
        <v>3.40994866036259</v>
      </c>
      <c r="BE247" s="70">
        <f ca="1">MIN(IF((1-AA247/R247)&gt;0,(1-Y247/TEW)/(1-AA247/R247)*(Ze/P247)^0.6,0),1)*BC247*H247*B247</f>
        <v>1.36468147248562</v>
      </c>
      <c r="BF247" s="70">
        <f ca="1">MIN(IF((1-AA247/R247)&gt;0,(1-Z247/TEW)/(1-AA247/R247)*(Ze/P247)^0.6,0),1)*BC247*H247*B247</f>
        <v>1.36468147248562</v>
      </c>
      <c r="BH247" s="10">
        <f ca="1" t="shared" si="41"/>
        <v>0.0113071025283318</v>
      </c>
      <c r="BI247" s="10">
        <f ca="1">IF(F247&lt;&gt;"",(Moy_Etobs-F247)^2,"")</f>
        <v>2.87214782783997</v>
      </c>
    </row>
    <row r="248" spans="1:61">
      <c r="A248" s="38">
        <v>39241</v>
      </c>
      <c r="B248" s="10">
        <v>4.76</v>
      </c>
      <c r="C248" s="39">
        <v>0</v>
      </c>
      <c r="D248" s="10">
        <v>0.647</v>
      </c>
      <c r="E248" s="39">
        <v>0</v>
      </c>
      <c r="F248" s="10">
        <v>3.5973882</v>
      </c>
      <c r="G248" s="10">
        <f ca="1">MIN(MAX(IF(AND(Durpla&gt;ROW()-MATCH(NDVImax,INDEX(D:D,Lig_min,1):INDEX(D:D,Lig_max,1),0)-Lig_min+1,ROW()-MATCH(NDVImax,INDEX(D:D,Lig_min,1):INDEX(D:D,Lig_max,1),0)-Lig_min+1&gt;0,D248*a_fc+b_fc&gt;fc_fin),NDVImax*a_fc+b_fc,D248*a_fc+b_fc),0),1)</f>
        <v>1</v>
      </c>
      <c r="H248" s="55">
        <f>MIN(MAX(D248*a_kcb+b_kcb,0),Kcmax)</f>
        <v>0.747020496660693</v>
      </c>
      <c r="I248" s="70">
        <f ca="1" t="shared" si="33"/>
        <v>3.5558175641049</v>
      </c>
      <c r="O248" s="55"/>
      <c r="P248" s="35">
        <f ca="1">IF(ROW()-MATCH(NDVImax,INDEX(D:D,Lig_min,1):INDEX(D:D,Lig_max,1),0)-Lig_min+1&gt;0,MAX(MIN(Zr_min+MAX(INDEX(G:G,Lig_min,1):INDEX(G:G,Lig_max,1))/MAX(MAX(INDEX(G:G,Lig_min,1):INDEX(G:G,Lig_max,1)),Max_fc_pour_Zrmax)*(Zr_max-Zr_min),Zr_max),Ze+0.001),MAX(MIN(Zr_min+G248/MAX(MAX(INDEX(G:G,Lig_min,1):INDEX(G:G,Lig_max,1)),Max_fc_pour_Zrmax)*(Zr_max-Zr_min),Zr_max),Ze+0.001))</f>
        <v>595.55606968994</v>
      </c>
      <c r="Q248" s="35">
        <f ca="1">IF(Z_sol&gt;0,Z_sol-P248,0.1)</f>
        <v>18.318481374494</v>
      </c>
      <c r="R248" s="35">
        <f ca="1">(Wfc-Wwp)*P248</f>
        <v>77.4222890596922</v>
      </c>
      <c r="S248" s="35">
        <f ca="1">(Wfc-Wwp)*Q248</f>
        <v>2.38140257868422</v>
      </c>
      <c r="T248" s="99">
        <f ca="1" t="shared" si="42"/>
        <v>2.92593515322326</v>
      </c>
      <c r="U248" s="99">
        <f ca="1" t="shared" si="43"/>
        <v>2.92593515322326</v>
      </c>
      <c r="V248" s="99">
        <f ca="1">IF(P248&gt;P247,IF(Q248&gt;1,MAX(AI247+(Wfc-Wwp)*(P248-P247)*AJ247/S247,0),AI247/P247*P248),MAX(AI247+(Wfc-Wwp)*(P248-P247)*AI247/R247,0))</f>
        <v>8.58726615843205</v>
      </c>
      <c r="W248" s="99">
        <f ca="1">IF(S248&gt;1,IF(P248&gt;P247,MAX(AJ247-(Wfc-Wwp)*(P248-P247)*AJ247/S247,0),MAX(AJ247-(Wfc-Wwp)*(P248-P247)*AI247/R247,0)),0)</f>
        <v>3.98794846318981e-8</v>
      </c>
      <c r="X248" s="99">
        <f ca="1">IF(AND(OR(AND(dec_vide_TAW&lt;0,V248&gt;R248*(p+0.04*(5-I247))),AND(dec_vide_TAW&gt;0,V248&gt;R248*dec_vide_TAW)),H248&gt;MAX(INDEX(H:H,Lig_min,1):INDEX(H:H,ROW(X248),1))*Kcbmax_stop_irrig*IF(ROW(X248)-lig_kcbmax&gt;0,1,0),MIN(INDEX(H:H,ROW(X248),1):INDEX(H:H,lig_kcbmax,1))&gt;Kcbmin_start_irrig),MIN(MAX(V248-E248*Irri_man-C248,0),Lame_max),0)</f>
        <v>0</v>
      </c>
      <c r="Y248" s="99">
        <f ca="1">MIN(MAX(T248-C248-IF(fw&gt;0,X248/fw*Irri_auto+E248/fw*Irri_man,0),0),TEW)</f>
        <v>2.92593515322326</v>
      </c>
      <c r="Z248" s="99">
        <f ca="1">MIN(MAX(U248-C248,0),TEW)</f>
        <v>2.92593515322326</v>
      </c>
      <c r="AA248" s="99">
        <f ca="1">MIN(MAX(V248-C248-(X248*Irri_auto+E248*Irri_man),0),R248)</f>
        <v>8.58726615843205</v>
      </c>
      <c r="AB248" s="99">
        <f ca="1">MIN(MAX(W248+MIN(V248-C248-(X248*Irri_auto+E248*Irri_man),0),0),S248)</f>
        <v>3.98794846318981e-8</v>
      </c>
      <c r="AC248" s="99">
        <f ca="1">-MIN(W248+MIN(V248-C248-(X248*Irri_auto+E248*Irri_man),0),0)</f>
        <v>0</v>
      </c>
      <c r="AD248" s="39">
        <f ca="1">IF(((R248-AA248)/P248-((Wfc-Wwp)*Ze-Y248)/Ze)/Wfc*DiffE&lt;0,MAX(((R248-AA248)/P248-((Wfc-Wwp)*Ze-Y248)/Ze)/Wfc*DiffE,(R248*Ze-((Wfc-Wwp)*Ze-Y248-AA248)*P248)/(P248+Ze)-AA248),MIN(((R248-AA248)/P248-((Wfc-Wwp)*Ze-Y248)/Ze)/Wfc*DiffE,(R248*Ze-((Wfc-Wwp)*Ze-Y248-AA248)*P248)/(P248+Ze)-AA248))</f>
        <v>2.2471441540866e-8</v>
      </c>
      <c r="AE248" s="39">
        <f ca="1">IF(((R248-AA248)/P248-((Wfc-Wwp)*Ze-Z248)/Ze)/Wfc*DiffE&lt;0,MAX(((R248-AA248)/P248-((Wfc-Wwp)*Ze-Z248)/Ze)/Wfc*DiffE,(R248*Ze-((Wfc-Wwp)*Ze-Z248-AA248)*P248)/(P248+Ze)-AA248),MIN(((R248-AA248)/P248-((Wfc-Wwp)*Ze-Z248)/Ze)/Wfc*DiffE,(R248*Ze-((Wfc-Wwp)*Ze-Z248-AA248)*P248)/(P248+Ze)-AA248))</f>
        <v>2.2471441540866e-8</v>
      </c>
      <c r="AF248" s="39">
        <f ca="1">IF(((S248-AB248)/Q248-(R248-AA248)/P248)/Wfc*DiffR&lt;0,MAX(((S248-AB248)/Q248-(R248-AA248)/P248)/Wfc*DiffR,(S248*P248-(R248-AA248-AB248)*Q248)/(P248+Q248)-AB248),MIN(((S248-AB248)/Q248-(R248-AA248)/P248)/Wfc*DiffR,(S248*P248-(R248-AA248-AB248)*Q248)/(P248+Q248)-AB248))</f>
        <v>3.60472560810787e-8</v>
      </c>
      <c r="AG248" s="99">
        <f ca="1">MIN(MAX(Y248+IF(AU248&gt;0,B248*AZ248/AU248,0)+BE248-AD248,0),TEW)</f>
        <v>4.35491476565964</v>
      </c>
      <c r="AH248" s="99">
        <f ca="1">MIN(MAX(Z248+IF(AV248&gt;0,B248*BA248/AV248,0)+BF248-AE248,0),TEW)</f>
        <v>4.35491476565964</v>
      </c>
      <c r="AI248" s="99">
        <f ca="1" t="shared" si="34"/>
        <v>12.1430836864897</v>
      </c>
      <c r="AJ248" s="99">
        <f ca="1" t="shared" si="35"/>
        <v>7.59267407129768e-8</v>
      </c>
      <c r="AK248" s="70">
        <f ca="1">IF((AU248+AV248)&gt;0,(TEW-(AG248*AU248+AH248*AV248)/(AU248+AV248))/TEW,(TEW-(AG248+AH248)/2)/TEW)</f>
        <v>0.868530874998954</v>
      </c>
      <c r="AL248" s="70">
        <f ca="1" t="shared" si="36"/>
        <v>0.843157780091888</v>
      </c>
      <c r="AM248" s="70">
        <f ca="1" t="shared" si="37"/>
        <v>0.999999968116797</v>
      </c>
      <c r="AN248" s="70">
        <f ca="1">Wwp+(Wfc-Wwp)*IF((AU248+AV248)&gt;0,(TEW-(AG248*AU248+AH248*AV248)/(AU248+AV248))/TEW,(TEW-(AG248+AH248)/2)/TEW)</f>
        <v>0.382909013749864</v>
      </c>
      <c r="AO248" s="70">
        <f ca="1">Wwp+(Wfc-Wwp)*(R248-AI248)/R248</f>
        <v>0.379610511411945</v>
      </c>
      <c r="AP248" s="70">
        <f ca="1">Wwp+(Wfc-Wwp)*(S248-AJ248)/S248</f>
        <v>0.399999995855184</v>
      </c>
      <c r="AQ248" s="70"/>
      <c r="AR248" s="70"/>
      <c r="AS248" s="70"/>
      <c r="AT248" s="70"/>
      <c r="AU248" s="70">
        <f ca="1">MIN((1-G248),fw)</f>
        <v>0</v>
      </c>
      <c r="AV248" s="70">
        <f ca="1" t="shared" si="38"/>
        <v>0</v>
      </c>
      <c r="AW248" s="70">
        <f ca="1">MIN((TEW-Y248)/(TEW-REW),1)</f>
        <v>0.116035701614605</v>
      </c>
      <c r="AX248" s="70">
        <f ca="1">MIN((TEW-Z248)/(TEW-REW),1)</f>
        <v>0.116035701614605</v>
      </c>
      <c r="AY248" s="70">
        <f ca="1">IF((AU248*(TEW-Y248))&gt;0,1/(1+((AV248*(TEW-Z248))/(AU248*(TEW-Y248)))),0)</f>
        <v>0</v>
      </c>
      <c r="AZ248" s="70">
        <f ca="1">MIN((AY248*AW248*(Kcmax-H248)),AU248*Kcmax)</f>
        <v>0</v>
      </c>
      <c r="BA248" s="70">
        <f ca="1">MIN(((1-AY248)*AX248*(Kcmax-H248)),AV248*Kcmax)</f>
        <v>0</v>
      </c>
      <c r="BB248" s="70">
        <f ca="1" t="shared" si="39"/>
        <v>0</v>
      </c>
      <c r="BC248" s="70">
        <f ca="1">MIN((R248-AA248)/(R248*(1-(p+0.04*(5-I247)))),1)</f>
        <v>1</v>
      </c>
      <c r="BD248" s="10">
        <f ca="1" t="shared" si="40"/>
        <v>3.5558175641049</v>
      </c>
      <c r="BE248" s="70">
        <f ca="1">MIN(IF((1-AA248/R248)&gt;0,(1-Y248/TEW)/(1-AA248/R248)*(Ze/P248)^0.6,0),1)*BC248*H248*B248</f>
        <v>1.42897963490782</v>
      </c>
      <c r="BF248" s="70">
        <f ca="1">MIN(IF((1-AA248/R248)&gt;0,(1-Z248/TEW)/(1-AA248/R248)*(Ze/P248)^0.6,0),1)*BC248*H248*B248</f>
        <v>1.42897963490782</v>
      </c>
      <c r="BH248" s="10">
        <f ca="1" t="shared" si="41"/>
        <v>0.00172811776872314</v>
      </c>
      <c r="BI248" s="10">
        <f ca="1">IF(F248&lt;&gt;"",(Moy_Etobs-F248)^2,"")</f>
        <v>3.95419440040312</v>
      </c>
    </row>
    <row r="249" spans="1:61">
      <c r="A249" s="38">
        <v>39242</v>
      </c>
      <c r="B249" s="10">
        <v>5.278</v>
      </c>
      <c r="C249" s="39">
        <v>0</v>
      </c>
      <c r="D249" s="10">
        <v>0.631</v>
      </c>
      <c r="E249" s="39">
        <v>0</v>
      </c>
      <c r="F249" s="10">
        <v>3.8123964</v>
      </c>
      <c r="G249" s="10">
        <f ca="1">MIN(MAX(IF(AND(Durpla&gt;ROW()-MATCH(NDVImax,INDEX(D:D,Lig_min,1):INDEX(D:D,Lig_max,1),0)-Lig_min+1,ROW()-MATCH(NDVImax,INDEX(D:D,Lig_min,1):INDEX(D:D,Lig_max,1),0)-Lig_min+1&gt;0,D249*a_fc+b_fc&gt;fc_fin),NDVImax*a_fc+b_fc,D249*a_fc+b_fc),0),1)</f>
        <v>1</v>
      </c>
      <c r="H249" s="55">
        <f>MIN(MAX(D249*a_kcb+b_kcb,0),Kcmax)</f>
        <v>0.722971547070007</v>
      </c>
      <c r="I249" s="70">
        <f ca="1" t="shared" si="33"/>
        <v>3.81584382543549</v>
      </c>
      <c r="O249" s="55"/>
      <c r="P249" s="35">
        <f ca="1">IF(ROW()-MATCH(NDVImax,INDEX(D:D,Lig_min,1):INDEX(D:D,Lig_max,1),0)-Lig_min+1&gt;0,MAX(MIN(Zr_min+MAX(INDEX(G:G,Lig_min,1):INDEX(G:G,Lig_max,1))/MAX(MAX(INDEX(G:G,Lig_min,1):INDEX(G:G,Lig_max,1)),Max_fc_pour_Zrmax)*(Zr_max-Zr_min),Zr_max),Ze+0.001),MAX(MIN(Zr_min+G249/MAX(MAX(INDEX(G:G,Lig_min,1):INDEX(G:G,Lig_max,1)),Max_fc_pour_Zrmax)*(Zr_max-Zr_min),Zr_max),Ze+0.001))</f>
        <v>595.55606968994</v>
      </c>
      <c r="Q249" s="35">
        <f ca="1">IF(Z_sol&gt;0,Z_sol-P249,0.1)</f>
        <v>18.318481374494</v>
      </c>
      <c r="R249" s="35">
        <f ca="1">(Wfc-Wwp)*P249</f>
        <v>77.4222890596922</v>
      </c>
      <c r="S249" s="35">
        <f ca="1">(Wfc-Wwp)*Q249</f>
        <v>2.38140257868422</v>
      </c>
      <c r="T249" s="99">
        <f ca="1" t="shared" si="42"/>
        <v>4.35491476565964</v>
      </c>
      <c r="U249" s="99">
        <f ca="1" t="shared" si="43"/>
        <v>4.35491476565964</v>
      </c>
      <c r="V249" s="99">
        <f ca="1">IF(P249&gt;P248,IF(Q249&gt;1,MAX(AI248+(Wfc-Wwp)*(P249-P248)*AJ248/S248,0),AI248/P248*P249),MAX(AI248+(Wfc-Wwp)*(P249-P248)*AI248/R248,0))</f>
        <v>12.1430836864897</v>
      </c>
      <c r="W249" s="99">
        <f ca="1">IF(S249&gt;1,IF(P249&gt;P248,MAX(AJ248-(Wfc-Wwp)*(P249-P248)*AJ248/S248,0),MAX(AJ248-(Wfc-Wwp)*(P249-P248)*AI248/R248,0)),0)</f>
        <v>7.59267407129768e-8</v>
      </c>
      <c r="X249" s="99">
        <f ca="1">IF(AND(OR(AND(dec_vide_TAW&lt;0,V249&gt;R249*(p+0.04*(5-I248))),AND(dec_vide_TAW&gt;0,V249&gt;R249*dec_vide_TAW)),H249&gt;MAX(INDEX(H:H,Lig_min,1):INDEX(H:H,ROW(X249),1))*Kcbmax_stop_irrig*IF(ROW(X249)-lig_kcbmax&gt;0,1,0),MIN(INDEX(H:H,ROW(X249),1):INDEX(H:H,lig_kcbmax,1))&gt;Kcbmin_start_irrig),MIN(MAX(V249-E249*Irri_man-C249,0),Lame_max),0)</f>
        <v>0</v>
      </c>
      <c r="Y249" s="99">
        <f ca="1">MIN(MAX(T249-C249-IF(fw&gt;0,X249/fw*Irri_auto+E249/fw*Irri_man,0),0),TEW)</f>
        <v>4.35491476565964</v>
      </c>
      <c r="Z249" s="99">
        <f ca="1">MIN(MAX(U249-C249,0),TEW)</f>
        <v>4.35491476565964</v>
      </c>
      <c r="AA249" s="99">
        <f ca="1">MIN(MAX(V249-C249-(X249*Irri_auto+E249*Irri_man),0),R249)</f>
        <v>12.1430836864897</v>
      </c>
      <c r="AB249" s="99">
        <f ca="1">MIN(MAX(W249+MIN(V249-C249-(X249*Irri_auto+E249*Irri_man),0),0),S249)</f>
        <v>7.59267407129768e-8</v>
      </c>
      <c r="AC249" s="99">
        <f ca="1">-MIN(W249+MIN(V249-C249-(X249*Irri_auto+E249*Irri_man),0),0)</f>
        <v>0</v>
      </c>
      <c r="AD249" s="39">
        <f ca="1">IF(((R249-AA249)/P249-((Wfc-Wwp)*Ze-Y249)/Ze)/Wfc*DiffE&lt;0,MAX(((R249-AA249)/P249-((Wfc-Wwp)*Ze-Y249)/Ze)/Wfc*DiffE,(R249*Ze-((Wfc-Wwp)*Ze-Y249-AA249)*P249)/(P249+Ze)-AA249),MIN(((R249-AA249)/P249-((Wfc-Wwp)*Ze-Y249)/Ze)/Wfc*DiffE,(R249*Ze-((Wfc-Wwp)*Ze-Y249-AA249)*P249)/(P249+Ze)-AA249))</f>
        <v>3.61245738430562e-8</v>
      </c>
      <c r="AE249" s="39">
        <f ca="1">IF(((R249-AA249)/P249-((Wfc-Wwp)*Ze-Z249)/Ze)/Wfc*DiffE&lt;0,MAX(((R249-AA249)/P249-((Wfc-Wwp)*Ze-Z249)/Ze)/Wfc*DiffE,(R249*Ze-((Wfc-Wwp)*Ze-Z249-AA249)*P249)/(P249+Ze)-AA249),MIN(((R249-AA249)/P249-((Wfc-Wwp)*Ze-Z249)/Ze)/Wfc*DiffE,(R249*Ze-((Wfc-Wwp)*Ze-Z249-AA249)*P249)/(P249+Ze)-AA249))</f>
        <v>3.61245738430562e-8</v>
      </c>
      <c r="AF249" s="39">
        <f ca="1">IF(((S249-AB249)/Q249-(R249-AA249)/P249)/Wfc*DiffR&lt;0,MAX(((S249-AB249)/Q249-(R249-AA249)/P249)/Wfc*DiffR,(S249*P249-(R249-AA249-AB249)*Q249)/(P249+Q249)-AB249),MIN(((S249-AB249)/Q249-(R249-AA249)/P249)/Wfc*DiffR,(S249*P249-(R249-AA249-AB249)*Q249)/(P249+Q249)-AB249))</f>
        <v>5.09737111080957e-8</v>
      </c>
      <c r="AG249" s="99">
        <f ca="1">MIN(MAX(Y249+IF(AU249&gt;0,B249*AZ249/AU249,0)+BE249-AD249,0),TEW)</f>
        <v>5.89540661910153</v>
      </c>
      <c r="AH249" s="99">
        <f ca="1">MIN(MAX(Z249+IF(AV249&gt;0,B249*BA249/AV249,0)+BF249-AE249,0),TEW)</f>
        <v>5.89540661910153</v>
      </c>
      <c r="AI249" s="99">
        <f ca="1" t="shared" si="34"/>
        <v>15.9589274609515</v>
      </c>
      <c r="AJ249" s="99">
        <f ca="1" t="shared" si="35"/>
        <v>1.26900451821073e-7</v>
      </c>
      <c r="AK249" s="70">
        <f ca="1">IF((AU249+AV249)&gt;0,(TEW-(AG249*AU249+AH249*AV249)/(AU249+AV249))/TEW,(TEW-(AG249+AH249)/2)/TEW)</f>
        <v>0.822025460555426</v>
      </c>
      <c r="AL249" s="70">
        <f ca="1" t="shared" si="36"/>
        <v>0.79387166596628</v>
      </c>
      <c r="AM249" s="70">
        <f ca="1" t="shared" si="37"/>
        <v>0.999999946711886</v>
      </c>
      <c r="AN249" s="70">
        <f ca="1">Wwp+(Wfc-Wwp)*IF((AU249+AV249)&gt;0,(TEW-(AG249*AU249+AH249*AV249)/(AU249+AV249))/TEW,(TEW-(AG249+AH249)/2)/TEW)</f>
        <v>0.376863309872205</v>
      </c>
      <c r="AO249" s="70">
        <f ca="1">Wwp+(Wfc-Wwp)*(R249-AI249)/R249</f>
        <v>0.373203316575616</v>
      </c>
      <c r="AP249" s="70">
        <f ca="1">Wwp+(Wfc-Wwp)*(S249-AJ249)/S249</f>
        <v>0.399999993072545</v>
      </c>
      <c r="AQ249" s="70"/>
      <c r="AR249" s="70"/>
      <c r="AS249" s="70"/>
      <c r="AT249" s="70"/>
      <c r="AU249" s="70">
        <f ca="1">MIN((1-G249),fw)</f>
        <v>0</v>
      </c>
      <c r="AV249" s="70">
        <f ca="1" t="shared" si="38"/>
        <v>0</v>
      </c>
      <c r="AW249" s="70">
        <f ca="1">MIN((TEW-Y249)/(TEW-REW),1)</f>
        <v>0.110545046431628</v>
      </c>
      <c r="AX249" s="70">
        <f ca="1">MIN((TEW-Z249)/(TEW-REW),1)</f>
        <v>0.110545046431628</v>
      </c>
      <c r="AY249" s="70">
        <f ca="1">IF((AU249*(TEW-Y249))&gt;0,1/(1+((AV249*(TEW-Z249))/(AU249*(TEW-Y249)))),0)</f>
        <v>0</v>
      </c>
      <c r="AZ249" s="70">
        <f ca="1">MIN((AY249*AW249*(Kcmax-H249)),AU249*Kcmax)</f>
        <v>0</v>
      </c>
      <c r="BA249" s="70">
        <f ca="1">MIN(((1-AY249)*AX249*(Kcmax-H249)),AV249*Kcmax)</f>
        <v>0</v>
      </c>
      <c r="BB249" s="70">
        <f ca="1" t="shared" si="39"/>
        <v>0</v>
      </c>
      <c r="BC249" s="70">
        <f ca="1">MIN((R249-AA249)/(R249*(1-(p+0.04*(5-I248)))),1)</f>
        <v>1</v>
      </c>
      <c r="BD249" s="10">
        <f ca="1" t="shared" si="40"/>
        <v>3.81584382543549</v>
      </c>
      <c r="BE249" s="70">
        <f ca="1">MIN(IF((1-AA249/R249)&gt;0,(1-Y249/TEW)/(1-AA249/R249)*(Ze/P249)^0.6,0),1)*BC249*H249*B249</f>
        <v>1.54049188956646</v>
      </c>
      <c r="BF249" s="70">
        <f ca="1">MIN(IF((1-AA249/R249)&gt;0,(1-Z249/TEW)/(1-AA249/R249)*(Ze/P249)^0.6,0),1)*BC249*H249*B249</f>
        <v>1.54049188956646</v>
      </c>
      <c r="BH249" s="10">
        <f ca="1" t="shared" si="41"/>
        <v>1.18847421332966e-5</v>
      </c>
      <c r="BI249" s="10">
        <f ca="1">IF(F249&lt;&gt;"",(Moy_Etobs-F249)^2,"")</f>
        <v>4.85551725790747</v>
      </c>
    </row>
    <row r="250" spans="1:61">
      <c r="A250" s="38">
        <v>39243</v>
      </c>
      <c r="B250" s="10">
        <v>4.299</v>
      </c>
      <c r="C250" s="39">
        <v>2.772</v>
      </c>
      <c r="D250" s="10">
        <v>0.616</v>
      </c>
      <c r="E250" s="39">
        <v>0</v>
      </c>
      <c r="F250" s="10">
        <v>2.9197242</v>
      </c>
      <c r="G250" s="10">
        <f ca="1">MIN(MAX(IF(AND(Durpla&gt;ROW()-MATCH(NDVImax,INDEX(D:D,Lig_min,1):INDEX(D:D,Lig_max,1),0)-Lig_min+1,ROW()-MATCH(NDVImax,INDEX(D:D,Lig_min,1):INDEX(D:D,Lig_max,1),0)-Lig_min+1&gt;0,D250*a_fc+b_fc&gt;fc_fin),NDVImax*a_fc+b_fc,D250*a_fc+b_fc),0),1)</f>
        <v>1</v>
      </c>
      <c r="H250" s="55">
        <f>MIN(MAX(D250*a_kcb+b_kcb,0),Kcmax)</f>
        <v>0.700425656828738</v>
      </c>
      <c r="I250" s="70">
        <f ca="1" t="shared" si="33"/>
        <v>3.01112989870675</v>
      </c>
      <c r="O250" s="55"/>
      <c r="P250" s="35">
        <f ca="1">IF(ROW()-MATCH(NDVImax,INDEX(D:D,Lig_min,1):INDEX(D:D,Lig_max,1),0)-Lig_min+1&gt;0,MAX(MIN(Zr_min+MAX(INDEX(G:G,Lig_min,1):INDEX(G:G,Lig_max,1))/MAX(MAX(INDEX(G:G,Lig_min,1):INDEX(G:G,Lig_max,1)),Max_fc_pour_Zrmax)*(Zr_max-Zr_min),Zr_max),Ze+0.001),MAX(MIN(Zr_min+G250/MAX(MAX(INDEX(G:G,Lig_min,1):INDEX(G:G,Lig_max,1)),Max_fc_pour_Zrmax)*(Zr_max-Zr_min),Zr_max),Ze+0.001))</f>
        <v>595.55606968994</v>
      </c>
      <c r="Q250" s="35">
        <f ca="1">IF(Z_sol&gt;0,Z_sol-P250,0.1)</f>
        <v>18.318481374494</v>
      </c>
      <c r="R250" s="35">
        <f ca="1">(Wfc-Wwp)*P250</f>
        <v>77.4222890596922</v>
      </c>
      <c r="S250" s="35">
        <f ca="1">(Wfc-Wwp)*Q250</f>
        <v>2.38140257868422</v>
      </c>
      <c r="T250" s="99">
        <f ca="1" t="shared" si="42"/>
        <v>5.89540661910153</v>
      </c>
      <c r="U250" s="99">
        <f ca="1" t="shared" si="43"/>
        <v>5.89540661910153</v>
      </c>
      <c r="V250" s="99">
        <f ca="1">IF(P250&gt;P249,IF(Q250&gt;1,MAX(AI249+(Wfc-Wwp)*(P250-P249)*AJ249/S249,0),AI249/P249*P250),MAX(AI249+(Wfc-Wwp)*(P250-P249)*AI249/R249,0))</f>
        <v>15.9589274609515</v>
      </c>
      <c r="W250" s="99">
        <f ca="1">IF(S250&gt;1,IF(P250&gt;P249,MAX(AJ249-(Wfc-Wwp)*(P250-P249)*AJ249/S249,0),MAX(AJ249-(Wfc-Wwp)*(P250-P249)*AI249/R249,0)),0)</f>
        <v>1.26900451821073e-7</v>
      </c>
      <c r="X250" s="99">
        <f ca="1">IF(AND(OR(AND(dec_vide_TAW&lt;0,V250&gt;R250*(p+0.04*(5-I249))),AND(dec_vide_TAW&gt;0,V250&gt;R250*dec_vide_TAW)),H250&gt;MAX(INDEX(H:H,Lig_min,1):INDEX(H:H,ROW(X250),1))*Kcbmax_stop_irrig*IF(ROW(X250)-lig_kcbmax&gt;0,1,0),MIN(INDEX(H:H,ROW(X250),1):INDEX(H:H,lig_kcbmax,1))&gt;Kcbmin_start_irrig),MIN(MAX(V250-E250*Irri_man-C250,0),Lame_max),0)</f>
        <v>0</v>
      </c>
      <c r="Y250" s="99">
        <f ca="1">MIN(MAX(T250-C250-IF(fw&gt;0,X250/fw*Irri_auto+E250/fw*Irri_man,0),0),TEW)</f>
        <v>3.12340661910153</v>
      </c>
      <c r="Z250" s="99">
        <f ca="1">MIN(MAX(U250-C250,0),TEW)</f>
        <v>3.12340661910153</v>
      </c>
      <c r="AA250" s="99">
        <f ca="1">MIN(MAX(V250-C250-(X250*Irri_auto+E250*Irri_man),0),R250)</f>
        <v>13.1869274609515</v>
      </c>
      <c r="AB250" s="99">
        <f ca="1">MIN(MAX(W250+MIN(V250-C250-(X250*Irri_auto+E250*Irri_man),0),0),S250)</f>
        <v>1.26900451821073e-7</v>
      </c>
      <c r="AC250" s="99">
        <f ca="1">-MIN(W250+MIN(V250-C250-(X250*Irri_auto+E250*Irri_man),0),0)</f>
        <v>0</v>
      </c>
      <c r="AD250" s="39">
        <f ca="1">IF(((R250-AA250)/P250-((Wfc-Wwp)*Ze-Y250)/Ze)/Wfc*DiffE&lt;0,MAX(((R250-AA250)/P250-((Wfc-Wwp)*Ze-Y250)/Ze)/Wfc*DiffE,(R250*Ze-((Wfc-Wwp)*Ze-Y250-AA250)*P250)/(P250+Ze)-AA250),MIN(((R250-AA250)/P250-((Wfc-Wwp)*Ze-Y250)/Ze)/Wfc*DiffE,(R250*Ze-((Wfc-Wwp)*Ze-Y250-AA250)*P250)/(P250+Ze)-AA250))</f>
        <v>7.11260780557509e-9</v>
      </c>
      <c r="AE250" s="39">
        <f ca="1">IF(((R250-AA250)/P250-((Wfc-Wwp)*Ze-Z250)/Ze)/Wfc*DiffE&lt;0,MAX(((R250-AA250)/P250-((Wfc-Wwp)*Ze-Z250)/Ze)/Wfc*DiffE,(R250*Ze-((Wfc-Wwp)*Ze-Z250-AA250)*P250)/(P250+Ze)-AA250),MIN(((R250-AA250)/P250-((Wfc-Wwp)*Ze-Z250)/Ze)/Wfc*DiffE,(R250*Ze-((Wfc-Wwp)*Ze-Z250-AA250)*P250)/(P250+Ze)-AA250))</f>
        <v>7.11260780557509e-9</v>
      </c>
      <c r="AF250" s="39">
        <f ca="1">IF(((S250-AB250)/Q250-(R250-AA250)/P250)/Wfc*DiffR&lt;0,MAX(((S250-AB250)/Q250-(R250-AA250)/P250)/Wfc*DiffR,(S250*P250-(R250-AA250-AB250)*Q250)/(P250+Q250)-AB250),MIN(((S250-AB250)/Q250-(R250-AA250)/P250)/Wfc*DiffR,(S250*P250-(R250-AA250-AB250)*Q250)/(P250+Q250)-AB250))</f>
        <v>5.53555072578185e-8</v>
      </c>
      <c r="AG250" s="99">
        <f ca="1">MIN(MAX(Y250+IF(AU250&gt;0,B250*AZ250/AU250,0)+BE250-AD250,0),TEW)</f>
        <v>4.41166261196411</v>
      </c>
      <c r="AH250" s="99">
        <f ca="1">MIN(MAX(Z250+IF(AV250&gt;0,B250*BA250/AV250,0)+BF250-AE250,0),TEW)</f>
        <v>4.41166261196411</v>
      </c>
      <c r="AI250" s="99">
        <f ca="1" t="shared" si="34"/>
        <v>16.1980573043027</v>
      </c>
      <c r="AJ250" s="99">
        <f ca="1" t="shared" si="35"/>
        <v>1.82255959078891e-7</v>
      </c>
      <c r="AK250" s="70">
        <f ca="1">IF((AU250+AV250)&gt;0,(TEW-(AG250*AU250+AH250*AV250)/(AU250+AV250))/TEW,(TEW-(AG250+AH250)/2)/TEW)</f>
        <v>0.866817732469008</v>
      </c>
      <c r="AL250" s="70">
        <f ca="1" t="shared" si="36"/>
        <v>0.790783022550339</v>
      </c>
      <c r="AM250" s="70">
        <f ca="1" t="shared" si="37"/>
        <v>0.999999923466968</v>
      </c>
      <c r="AN250" s="70">
        <f ca="1">Wwp+(Wfc-Wwp)*IF((AU250+AV250)&gt;0,(TEW-(AG250*AU250+AH250*AV250)/(AU250+AV250))/TEW,(TEW-(AG250+AH250)/2)/TEW)</f>
        <v>0.382686305220971</v>
      </c>
      <c r="AO250" s="70">
        <f ca="1">Wwp+(Wfc-Wwp)*(R250-AI250)/R250</f>
        <v>0.372801792931544</v>
      </c>
      <c r="AP250" s="70">
        <f ca="1">Wwp+(Wfc-Wwp)*(S250-AJ250)/S250</f>
        <v>0.399999990050706</v>
      </c>
      <c r="AQ250" s="70"/>
      <c r="AR250" s="70"/>
      <c r="AS250" s="70"/>
      <c r="AT250" s="70"/>
      <c r="AU250" s="70">
        <f ca="1">MIN((1-G250),fw)</f>
        <v>0</v>
      </c>
      <c r="AV250" s="70">
        <f ca="1" t="shared" si="38"/>
        <v>0</v>
      </c>
      <c r="AW250" s="70">
        <f ca="1">MIN((TEW-Y250)/(TEW-REW),1)</f>
        <v>0.115276945003819</v>
      </c>
      <c r="AX250" s="70">
        <f ca="1">MIN((TEW-Z250)/(TEW-REW),1)</f>
        <v>0.115276945003819</v>
      </c>
      <c r="AY250" s="70">
        <f ca="1">IF((AU250*(TEW-Y250))&gt;0,1/(1+((AV250*(TEW-Z250))/(AU250*(TEW-Y250)))),0)</f>
        <v>0</v>
      </c>
      <c r="AZ250" s="70">
        <f ca="1">MIN((AY250*AW250*(Kcmax-H250)),AU250*Kcmax)</f>
        <v>0</v>
      </c>
      <c r="BA250" s="70">
        <f ca="1">MIN(((1-AY250)*AX250*(Kcmax-H250)),AV250*Kcmax)</f>
        <v>0</v>
      </c>
      <c r="BB250" s="70">
        <f ca="1" t="shared" si="39"/>
        <v>0</v>
      </c>
      <c r="BC250" s="70">
        <f ca="1">MIN((R250-AA250)/(R250*(1-(p+0.04*(5-I249)))),1)</f>
        <v>1</v>
      </c>
      <c r="BD250" s="10">
        <f ca="1" t="shared" si="40"/>
        <v>3.01112989870675</v>
      </c>
      <c r="BE250" s="70">
        <f ca="1">MIN(IF((1-AA250/R250)&gt;0,(1-Y250/TEW)/(1-AA250/R250)*(Ze/P250)^0.6,0),1)*BC250*H250*B250</f>
        <v>1.28825599997519</v>
      </c>
      <c r="BF250" s="70">
        <f ca="1">MIN(IF((1-AA250/R250)&gt;0,(1-Z250/TEW)/(1-AA250/R250)*(Ze/P250)^0.6,0),1)*BC250*H250*B250</f>
        <v>1.28825599997519</v>
      </c>
      <c r="BH250" s="10">
        <f ca="1" t="shared" si="41"/>
        <v>0.00835500175606838</v>
      </c>
      <c r="BI250" s="10">
        <f ca="1">IF(F250&lt;&gt;"",(Moy_Etobs-F250)^2,"")</f>
        <v>1.71833198905005</v>
      </c>
    </row>
    <row r="251" spans="1:61">
      <c r="A251" s="38">
        <v>39244</v>
      </c>
      <c r="B251" s="10">
        <v>3.532</v>
      </c>
      <c r="C251" s="39">
        <v>0.198</v>
      </c>
      <c r="D251" s="10">
        <v>0.6</v>
      </c>
      <c r="E251" s="39">
        <v>0</v>
      </c>
      <c r="F251" s="10">
        <v>2.4681726</v>
      </c>
      <c r="G251" s="10">
        <f ca="1">MIN(MAX(IF(AND(Durpla&gt;ROW()-MATCH(NDVImax,INDEX(D:D,Lig_min,1):INDEX(D:D,Lig_max,1),0)-Lig_min+1,ROW()-MATCH(NDVImax,INDEX(D:D,Lig_min,1):INDEX(D:D,Lig_max,1),0)-Lig_min+1&gt;0,D251*a_fc+b_fc&gt;fc_fin),NDVImax*a_fc+b_fc,D251*a_fc+b_fc),0),1)</f>
        <v>1</v>
      </c>
      <c r="H251" s="55">
        <f>MIN(MAX(D251*a_kcb+b_kcb,0),Kcmax)</f>
        <v>0.676376707238052</v>
      </c>
      <c r="I251" s="70">
        <f ca="1" t="shared" si="33"/>
        <v>2.3889625299648</v>
      </c>
      <c r="O251" s="55"/>
      <c r="P251" s="35">
        <f ca="1">IF(ROW()-MATCH(NDVImax,INDEX(D:D,Lig_min,1):INDEX(D:D,Lig_max,1),0)-Lig_min+1&gt;0,MAX(MIN(Zr_min+MAX(INDEX(G:G,Lig_min,1):INDEX(G:G,Lig_max,1))/MAX(MAX(INDEX(G:G,Lig_min,1):INDEX(G:G,Lig_max,1)),Max_fc_pour_Zrmax)*(Zr_max-Zr_min),Zr_max),Ze+0.001),MAX(MIN(Zr_min+G251/MAX(MAX(INDEX(G:G,Lig_min,1):INDEX(G:G,Lig_max,1)),Max_fc_pour_Zrmax)*(Zr_max-Zr_min),Zr_max),Ze+0.001))</f>
        <v>595.55606968994</v>
      </c>
      <c r="Q251" s="35">
        <f ca="1">IF(Z_sol&gt;0,Z_sol-P251,0.1)</f>
        <v>18.318481374494</v>
      </c>
      <c r="R251" s="35">
        <f ca="1">(Wfc-Wwp)*P251</f>
        <v>77.4222890596922</v>
      </c>
      <c r="S251" s="35">
        <f ca="1">(Wfc-Wwp)*Q251</f>
        <v>2.38140257868422</v>
      </c>
      <c r="T251" s="99">
        <f ca="1" t="shared" si="42"/>
        <v>4.41166261196411</v>
      </c>
      <c r="U251" s="99">
        <f ca="1" t="shared" si="43"/>
        <v>4.41166261196411</v>
      </c>
      <c r="V251" s="99">
        <f ca="1">IF(P251&gt;P250,IF(Q251&gt;1,MAX(AI250+(Wfc-Wwp)*(P251-P250)*AJ250/S250,0),AI250/P250*P251),MAX(AI250+(Wfc-Wwp)*(P251-P250)*AI250/R250,0))</f>
        <v>16.1980573043027</v>
      </c>
      <c r="W251" s="99">
        <f ca="1">IF(S251&gt;1,IF(P251&gt;P250,MAX(AJ250-(Wfc-Wwp)*(P251-P250)*AJ250/S250,0),MAX(AJ250-(Wfc-Wwp)*(P251-P250)*AI250/R250,0)),0)</f>
        <v>1.82255959078891e-7</v>
      </c>
      <c r="X251" s="99">
        <f ca="1">IF(AND(OR(AND(dec_vide_TAW&lt;0,V251&gt;R251*(p+0.04*(5-I250))),AND(dec_vide_TAW&gt;0,V251&gt;R251*dec_vide_TAW)),H251&gt;MAX(INDEX(H:H,Lig_min,1):INDEX(H:H,ROW(X251),1))*Kcbmax_stop_irrig*IF(ROW(X251)-lig_kcbmax&gt;0,1,0),MIN(INDEX(H:H,ROW(X251),1):INDEX(H:H,lig_kcbmax,1))&gt;Kcbmin_start_irrig),MIN(MAX(V251-E251*Irri_man-C251,0),Lame_max),0)</f>
        <v>0</v>
      </c>
      <c r="Y251" s="99">
        <f ca="1">MIN(MAX(T251-C251-IF(fw&gt;0,X251/fw*Irri_auto+E251/fw*Irri_man,0),0),TEW)</f>
        <v>4.21366261196411</v>
      </c>
      <c r="Z251" s="99">
        <f ca="1">MIN(MAX(U251-C251,0),TEW)</f>
        <v>4.21366261196411</v>
      </c>
      <c r="AA251" s="99">
        <f ca="1">MIN(MAX(V251-C251-(X251*Irri_auto+E251*Irri_man),0),R251)</f>
        <v>16.0000573043027</v>
      </c>
      <c r="AB251" s="99">
        <f ca="1">MIN(MAX(W251+MIN(V251-C251-(X251*Irri_auto+E251*Irri_man),0),0),S251)</f>
        <v>1.82255959078891e-7</v>
      </c>
      <c r="AC251" s="99">
        <f ca="1">-MIN(W251+MIN(V251-C251-(X251*Irri_auto+E251*Irri_man),0),0)</f>
        <v>0</v>
      </c>
      <c r="AD251" s="39">
        <f ca="1">IF(((R251-AA251)/P251-((Wfc-Wwp)*Ze-Y251)/Ze)/Wfc*DiffE&lt;0,MAX(((R251-AA251)/P251-((Wfc-Wwp)*Ze-Y251)/Ze)/Wfc*DiffE,(R251*Ze-((Wfc-Wwp)*Ze-Y251-AA251)*P251)/(P251+Ze)-AA251),MIN(((R251-AA251)/P251-((Wfc-Wwp)*Ze-Y251)/Ze)/Wfc*DiffE,(R251*Ze-((Wfc-Wwp)*Ze-Y251-AA251)*P251)/(P251+Ze)-AA251))</f>
        <v>1.71088905670356e-8</v>
      </c>
      <c r="AE251" s="39">
        <f ca="1">IF(((R251-AA251)/P251-((Wfc-Wwp)*Ze-Z251)/Ze)/Wfc*DiffE&lt;0,MAX(((R251-AA251)/P251-((Wfc-Wwp)*Ze-Z251)/Ze)/Wfc*DiffE,(R251*Ze-((Wfc-Wwp)*Ze-Z251-AA251)*P251)/(P251+Ze)-AA251),MIN(((R251-AA251)/P251-((Wfc-Wwp)*Ze-Z251)/Ze)/Wfc*DiffE,(R251*Ze-((Wfc-Wwp)*Ze-Z251-AA251)*P251)/(P251+Ze)-AA251))</f>
        <v>1.71088905670356e-8</v>
      </c>
      <c r="AF251" s="39">
        <f ca="1">IF(((S251-AB251)/Q251-(R251-AA251)/P251)/Wfc*DiffR&lt;0,MAX(((S251-AB251)/Q251-(R251-AA251)/P251)/Wfc*DiffR,(S251*P251-(R251-AA251-AB251)*Q251)/(P251+Q251)-AB251),MIN(((S251-AB251)/Q251-(R251-AA251)/P251)/Wfc*DiffR,(S251*P251-(R251-AA251-AB251)*Q251)/(P251+Q251)-AB251))</f>
        <v>6.71643367990113e-8</v>
      </c>
      <c r="AG251" s="99">
        <f ca="1">MIN(MAX(Y251+IF(AU251&gt;0,B251*AZ251/AU251,0)+BE251-AD251,0),TEW)</f>
        <v>5.2437034785924</v>
      </c>
      <c r="AH251" s="99">
        <f ca="1">MIN(MAX(Z251+IF(AV251&gt;0,B251*BA251/AV251,0)+BF251-AE251,0),TEW)</f>
        <v>5.2437034785924</v>
      </c>
      <c r="AI251" s="99">
        <f ca="1" t="shared" si="34"/>
        <v>18.3890197671032</v>
      </c>
      <c r="AJ251" s="99">
        <f ca="1" t="shared" si="35"/>
        <v>2.49420295877902e-7</v>
      </c>
      <c r="AK251" s="70">
        <f ca="1">IF((AU251+AV251)&gt;0,(TEW-(AG251*AU251+AH251*AV251)/(AU251+AV251))/TEW,(TEW-(AG251+AH251)/2)/TEW)</f>
        <v>0.841699517627399</v>
      </c>
      <c r="AL251" s="70">
        <f ca="1" t="shared" si="36"/>
        <v>0.762484163275961</v>
      </c>
      <c r="AM251" s="70">
        <f ca="1" t="shared" si="37"/>
        <v>0.99999989526328</v>
      </c>
      <c r="AN251" s="70">
        <f ca="1">Wwp+(Wfc-Wwp)*IF((AU251+AV251)&gt;0,(TEW-(AG251*AU251+AH251*AV251)/(AU251+AV251))/TEW,(TEW-(AG251+AH251)/2)/TEW)</f>
        <v>0.379420937291562</v>
      </c>
      <c r="AO251" s="70">
        <f ca="1">Wwp+(Wfc-Wwp)*(R251-AI251)/R251</f>
        <v>0.369122941225875</v>
      </c>
      <c r="AP251" s="70">
        <f ca="1">Wwp+(Wfc-Wwp)*(S251-AJ251)/S251</f>
        <v>0.399999986384226</v>
      </c>
      <c r="AQ251" s="70"/>
      <c r="AR251" s="70"/>
      <c r="AS251" s="70"/>
      <c r="AT251" s="70"/>
      <c r="AU251" s="70">
        <f ca="1">MIN((1-G251),fw)</f>
        <v>0</v>
      </c>
      <c r="AV251" s="70">
        <f ca="1" t="shared" si="38"/>
        <v>0</v>
      </c>
      <c r="AW251" s="70">
        <f ca="1">MIN((TEW-Y251)/(TEW-REW),1)</f>
        <v>0.111087788163592</v>
      </c>
      <c r="AX251" s="70">
        <f ca="1">MIN((TEW-Z251)/(TEW-REW),1)</f>
        <v>0.111087788163592</v>
      </c>
      <c r="AY251" s="70">
        <f ca="1">IF((AU251*(TEW-Y251))&gt;0,1/(1+((AV251*(TEW-Z251))/(AU251*(TEW-Y251)))),0)</f>
        <v>0</v>
      </c>
      <c r="AZ251" s="70">
        <f ca="1">MIN((AY251*AW251*(Kcmax-H251)),AU251*Kcmax)</f>
        <v>0</v>
      </c>
      <c r="BA251" s="70">
        <f ca="1">MIN(((1-AY251)*AX251*(Kcmax-H251)),AV251*Kcmax)</f>
        <v>0</v>
      </c>
      <c r="BB251" s="70">
        <f ca="1" t="shared" si="39"/>
        <v>0</v>
      </c>
      <c r="BC251" s="70">
        <f ca="1">MIN((R251-AA251)/(R251*(1-(p+0.04*(5-I250)))),1)</f>
        <v>1</v>
      </c>
      <c r="BD251" s="10">
        <f ca="1" t="shared" si="40"/>
        <v>2.3889625299648</v>
      </c>
      <c r="BE251" s="70">
        <f ca="1">MIN(IF((1-AA251/R251)&gt;0,(1-Y251/TEW)/(1-AA251/R251)*(Ze/P251)^0.6,0),1)*BC251*H251*B251</f>
        <v>1.03004088373718</v>
      </c>
      <c r="BF251" s="70">
        <f ca="1">MIN(IF((1-AA251/R251)&gt;0,(1-Z251/TEW)/(1-AA251/R251)*(Ze/P251)^0.6,0),1)*BC251*H251*B251</f>
        <v>1.03004088373718</v>
      </c>
      <c r="BH251" s="10">
        <f ca="1" t="shared" si="41"/>
        <v>0.00627423519498137</v>
      </c>
      <c r="BI251" s="10">
        <f ca="1">IF(F251&lt;&gt;"",(Moy_Etobs-F251)^2,"")</f>
        <v>0.738396537084933</v>
      </c>
    </row>
    <row r="252" spans="1:61">
      <c r="A252" s="38">
        <v>39245</v>
      </c>
      <c r="B252" s="10">
        <v>5.222</v>
      </c>
      <c r="C252" s="39">
        <v>0</v>
      </c>
      <c r="D252" s="10">
        <v>0.584</v>
      </c>
      <c r="E252" s="39">
        <v>0</v>
      </c>
      <c r="F252" s="10">
        <v>3.2751882</v>
      </c>
      <c r="G252" s="10">
        <f ca="1">MIN(MAX(IF(AND(Durpla&gt;ROW()-MATCH(NDVImax,INDEX(D:D,Lig_min,1):INDEX(D:D,Lig_max,1),0)-Lig_min+1,ROW()-MATCH(NDVImax,INDEX(D:D,Lig_min,1):INDEX(D:D,Lig_max,1),0)-Lig_min+1&gt;0,D252*a_fc+b_fc&gt;fc_fin),NDVImax*a_fc+b_fc,D252*a_fc+b_fc),0),1)</f>
        <v>1</v>
      </c>
      <c r="H252" s="55">
        <f>MIN(MAX(D252*a_kcb+b_kcb,0),Kcmax)</f>
        <v>0.652327757647366</v>
      </c>
      <c r="I252" s="70">
        <f ca="1" t="shared" si="33"/>
        <v>3.40645555043454</v>
      </c>
      <c r="O252" s="55"/>
      <c r="P252" s="35">
        <f ca="1">IF(ROW()-MATCH(NDVImax,INDEX(D:D,Lig_min,1):INDEX(D:D,Lig_max,1),0)-Lig_min+1&gt;0,MAX(MIN(Zr_min+MAX(INDEX(G:G,Lig_min,1):INDEX(G:G,Lig_max,1))/MAX(MAX(INDEX(G:G,Lig_min,1):INDEX(G:G,Lig_max,1)),Max_fc_pour_Zrmax)*(Zr_max-Zr_min),Zr_max),Ze+0.001),MAX(MIN(Zr_min+G252/MAX(MAX(INDEX(G:G,Lig_min,1):INDEX(G:G,Lig_max,1)),Max_fc_pour_Zrmax)*(Zr_max-Zr_min),Zr_max),Ze+0.001))</f>
        <v>595.55606968994</v>
      </c>
      <c r="Q252" s="35">
        <f ca="1">IF(Z_sol&gt;0,Z_sol-P252,0.1)</f>
        <v>18.318481374494</v>
      </c>
      <c r="R252" s="35">
        <f ca="1">(Wfc-Wwp)*P252</f>
        <v>77.4222890596922</v>
      </c>
      <c r="S252" s="35">
        <f ca="1">(Wfc-Wwp)*Q252</f>
        <v>2.38140257868422</v>
      </c>
      <c r="T252" s="99">
        <f ca="1" t="shared" si="42"/>
        <v>5.2437034785924</v>
      </c>
      <c r="U252" s="99">
        <f ca="1" t="shared" si="43"/>
        <v>5.2437034785924</v>
      </c>
      <c r="V252" s="99">
        <f ca="1">IF(P252&gt;P251,IF(Q252&gt;1,MAX(AI251+(Wfc-Wwp)*(P252-P251)*AJ251/S251,0),AI251/P251*P252),MAX(AI251+(Wfc-Wwp)*(P252-P251)*AI251/R251,0))</f>
        <v>18.3890197671032</v>
      </c>
      <c r="W252" s="99">
        <f ca="1">IF(S252&gt;1,IF(P252&gt;P251,MAX(AJ251-(Wfc-Wwp)*(P252-P251)*AJ251/S251,0),MAX(AJ251-(Wfc-Wwp)*(P252-P251)*AI251/R251,0)),0)</f>
        <v>2.49420295877902e-7</v>
      </c>
      <c r="X252" s="99">
        <f ca="1">IF(AND(OR(AND(dec_vide_TAW&lt;0,V252&gt;R252*(p+0.04*(5-I251))),AND(dec_vide_TAW&gt;0,V252&gt;R252*dec_vide_TAW)),H252&gt;MAX(INDEX(H:H,Lig_min,1):INDEX(H:H,ROW(X252),1))*Kcbmax_stop_irrig*IF(ROW(X252)-lig_kcbmax&gt;0,1,0),MIN(INDEX(H:H,ROW(X252),1):INDEX(H:H,lig_kcbmax,1))&gt;Kcbmin_start_irrig),MIN(MAX(V252-E252*Irri_man-C252,0),Lame_max),0)</f>
        <v>0</v>
      </c>
      <c r="Y252" s="99">
        <f ca="1">MIN(MAX(T252-C252-IF(fw&gt;0,X252/fw*Irri_auto+E252/fw*Irri_man,0),0),TEW)</f>
        <v>5.2437034785924</v>
      </c>
      <c r="Z252" s="99">
        <f ca="1">MIN(MAX(U252-C252,0),TEW)</f>
        <v>5.2437034785924</v>
      </c>
      <c r="AA252" s="99">
        <f ca="1">MIN(MAX(V252-C252-(X252*Irri_auto+E252*Irri_man),0),R252)</f>
        <v>18.3890197671032</v>
      </c>
      <c r="AB252" s="99">
        <f ca="1">MIN(MAX(W252+MIN(V252-C252-(X252*Irri_auto+E252*Irri_man),0),0),S252)</f>
        <v>2.49420295877902e-7</v>
      </c>
      <c r="AC252" s="99">
        <f ca="1">-MIN(W252+MIN(V252-C252-(X252*Irri_auto+E252*Irri_man),0),0)</f>
        <v>0</v>
      </c>
      <c r="AD252" s="39">
        <f ca="1">IF(((R252-AA252)/P252-((Wfc-Wwp)*Ze-Y252)/Ze)/Wfc*DiffE&lt;0,MAX(((R252-AA252)/P252-((Wfc-Wwp)*Ze-Y252)/Ze)/Wfc*DiffE,(R252*Ze-((Wfc-Wwp)*Ze-Y252-AA252)*P252)/(P252+Ze)-AA252),MIN(((R252-AA252)/P252-((Wfc-Wwp)*Ze-Y252)/Ze)/Wfc*DiffE,(R252*Ze-((Wfc-Wwp)*Ze-Y252-AA252)*P252)/(P252+Ze)-AA252))</f>
        <v>2.76814226365355e-8</v>
      </c>
      <c r="AE252" s="39">
        <f ca="1">IF(((R252-AA252)/P252-((Wfc-Wwp)*Ze-Z252)/Ze)/Wfc*DiffE&lt;0,MAX(((R252-AA252)/P252-((Wfc-Wwp)*Ze-Z252)/Ze)/Wfc*DiffE,(R252*Ze-((Wfc-Wwp)*Ze-Z252-AA252)*P252)/(P252+Ze)-AA252),MIN(((R252-AA252)/P252-((Wfc-Wwp)*Ze-Z252)/Ze)/Wfc*DiffE,(R252*Ze-((Wfc-Wwp)*Ze-Z252-AA252)*P252)/(P252+Ze)-AA252))</f>
        <v>2.76814226365355e-8</v>
      </c>
      <c r="AF252" s="39">
        <f ca="1">IF(((S252-AB252)/Q252-(R252-AA252)/P252)/Wfc*DiffR&lt;0,MAX(((S252-AB252)/Q252-(R252-AA252)/P252)/Wfc*DiffR,(S252*P252-(R252-AA252-AB252)*Q252)/(P252+Q252)-AB252),MIN(((S252-AB252)/Q252-(R252-AA252)/P252)/Wfc*DiffR,(S252*P252-(R252-AA252-AB252)*Q252)/(P252+Q252)-AB252))</f>
        <v>7.71926128958784e-8</v>
      </c>
      <c r="AG252" s="99">
        <f ca="1">MIN(MAX(Y252+IF(AU252&gt;0,B252*AZ252/AU252,0)+BE252-AD252,0),TEW)</f>
        <v>6.71744521639502</v>
      </c>
      <c r="AH252" s="99">
        <f ca="1">MIN(MAX(Z252+IF(AV252&gt;0,B252*BA252/AV252,0)+BF252-AE252,0),TEW)</f>
        <v>6.71744521639502</v>
      </c>
      <c r="AI252" s="99">
        <f ca="1" t="shared" si="34"/>
        <v>21.7954752403451</v>
      </c>
      <c r="AJ252" s="99">
        <f ca="1" t="shared" si="35"/>
        <v>3.26612908773781e-7</v>
      </c>
      <c r="AK252" s="70">
        <f ca="1">IF((AU252+AV252)&gt;0,(TEW-(AG252*AU252+AH252*AV252)/(AU252+AV252))/TEW,(TEW-(AG252+AH252)/2)/TEW)</f>
        <v>0.79720920101449</v>
      </c>
      <c r="AL252" s="70">
        <f ca="1" t="shared" si="36"/>
        <v>0.718485780967534</v>
      </c>
      <c r="AM252" s="70">
        <f ca="1" t="shared" si="37"/>
        <v>0.999999862848511</v>
      </c>
      <c r="AN252" s="70">
        <f ca="1">Wwp+(Wfc-Wwp)*IF((AU252+AV252)&gt;0,(TEW-(AG252*AU252+AH252*AV252)/(AU252+AV252))/TEW,(TEW-(AG252+AH252)/2)/TEW)</f>
        <v>0.373637196131884</v>
      </c>
      <c r="AO252" s="70">
        <f ca="1">Wwp+(Wfc-Wwp)*(R252-AI252)/R252</f>
        <v>0.363403151525779</v>
      </c>
      <c r="AP252" s="70">
        <f ca="1">Wwp+(Wfc-Wwp)*(S252-AJ252)/S252</f>
        <v>0.399999982170307</v>
      </c>
      <c r="AQ252" s="70"/>
      <c r="AR252" s="70"/>
      <c r="AS252" s="70"/>
      <c r="AT252" s="70"/>
      <c r="AU252" s="70">
        <f ca="1">MIN((1-G252),fw)</f>
        <v>0</v>
      </c>
      <c r="AV252" s="70">
        <f ca="1" t="shared" si="38"/>
        <v>0</v>
      </c>
      <c r="AW252" s="70">
        <f ca="1">MIN((TEW-Y252)/(TEW-REW),1)</f>
        <v>0.107129999561284</v>
      </c>
      <c r="AX252" s="70">
        <f ca="1">MIN((TEW-Z252)/(TEW-REW),1)</f>
        <v>0.107129999561284</v>
      </c>
      <c r="AY252" s="70">
        <f ca="1">IF((AU252*(TEW-Y252))&gt;0,1/(1+((AV252*(TEW-Z252))/(AU252*(TEW-Y252)))),0)</f>
        <v>0</v>
      </c>
      <c r="AZ252" s="70">
        <f ca="1">MIN((AY252*AW252*(Kcmax-H252)),AU252*Kcmax)</f>
        <v>0</v>
      </c>
      <c r="BA252" s="70">
        <f ca="1">MIN(((1-AY252)*AX252*(Kcmax-H252)),AV252*Kcmax)</f>
        <v>0</v>
      </c>
      <c r="BB252" s="70">
        <f ca="1" t="shared" si="39"/>
        <v>0</v>
      </c>
      <c r="BC252" s="70">
        <f ca="1">MIN((R252-AA252)/(R252*(1-(p+0.04*(5-I251)))),1)</f>
        <v>1</v>
      </c>
      <c r="BD252" s="10">
        <f ca="1" t="shared" si="40"/>
        <v>3.40645555043454</v>
      </c>
      <c r="BE252" s="70">
        <f ca="1">MIN(IF((1-AA252/R252)&gt;0,(1-Y252/TEW)/(1-AA252/R252)*(Ze/P252)^0.6,0),1)*BC252*H252*B252</f>
        <v>1.47374176548404</v>
      </c>
      <c r="BF252" s="70">
        <f ca="1">MIN(IF((1-AA252/R252)&gt;0,(1-Z252/TEW)/(1-AA252/R252)*(Ze/P252)^0.6,0),1)*BC252*H252*B252</f>
        <v>1.47374176548404</v>
      </c>
      <c r="BH252" s="10">
        <f ca="1" t="shared" si="41"/>
        <v>0.0172311172901052</v>
      </c>
      <c r="BI252" s="10">
        <f ca="1">IF(F252&lt;&gt;"",(Moy_Etobs-F252)^2,"")</f>
        <v>2.77660777010833</v>
      </c>
    </row>
    <row r="253" spans="1:61">
      <c r="A253" s="38">
        <v>39246</v>
      </c>
      <c r="B253" s="10">
        <v>4.546</v>
      </c>
      <c r="C253" s="39">
        <v>0</v>
      </c>
      <c r="D253" s="10">
        <v>0.569</v>
      </c>
      <c r="E253" s="39">
        <v>0</v>
      </c>
      <c r="F253" s="10">
        <v>2.7092772</v>
      </c>
      <c r="G253" s="10">
        <f ca="1">MIN(MAX(IF(AND(Durpla&gt;ROW()-MATCH(NDVImax,INDEX(D:D,Lig_min,1):INDEX(D:D,Lig_max,1),0)-Lig_min+1,ROW()-MATCH(NDVImax,INDEX(D:D,Lig_min,1):INDEX(D:D,Lig_max,1),0)-Lig_min+1&gt;0,D253*a_fc+b_fc&gt;fc_fin),NDVImax*a_fc+b_fc,D253*a_fc+b_fc),0),1)</f>
        <v>1</v>
      </c>
      <c r="H253" s="55">
        <f>MIN(MAX(D253*a_kcb+b_kcb,0),Kcmax)</f>
        <v>0.629781867406097</v>
      </c>
      <c r="I253" s="70">
        <f ca="1" t="shared" si="33"/>
        <v>2.86298836922812</v>
      </c>
      <c r="O253" s="55"/>
      <c r="P253" s="35">
        <f ca="1">IF(ROW()-MATCH(NDVImax,INDEX(D:D,Lig_min,1):INDEX(D:D,Lig_max,1),0)-Lig_min+1&gt;0,MAX(MIN(Zr_min+MAX(INDEX(G:G,Lig_min,1):INDEX(G:G,Lig_max,1))/MAX(MAX(INDEX(G:G,Lig_min,1):INDEX(G:G,Lig_max,1)),Max_fc_pour_Zrmax)*(Zr_max-Zr_min),Zr_max),Ze+0.001),MAX(MIN(Zr_min+G253/MAX(MAX(INDEX(G:G,Lig_min,1):INDEX(G:G,Lig_max,1)),Max_fc_pour_Zrmax)*(Zr_max-Zr_min),Zr_max),Ze+0.001))</f>
        <v>595.55606968994</v>
      </c>
      <c r="Q253" s="35">
        <f ca="1">IF(Z_sol&gt;0,Z_sol-P253,0.1)</f>
        <v>18.318481374494</v>
      </c>
      <c r="R253" s="35">
        <f ca="1">(Wfc-Wwp)*P253</f>
        <v>77.4222890596922</v>
      </c>
      <c r="S253" s="35">
        <f ca="1">(Wfc-Wwp)*Q253</f>
        <v>2.38140257868422</v>
      </c>
      <c r="T253" s="99">
        <f ca="1" t="shared" si="42"/>
        <v>6.71744521639502</v>
      </c>
      <c r="U253" s="99">
        <f ca="1" t="shared" si="43"/>
        <v>6.71744521639502</v>
      </c>
      <c r="V253" s="99">
        <f ca="1">IF(P253&gt;P252,IF(Q253&gt;1,MAX(AI252+(Wfc-Wwp)*(P253-P252)*AJ252/S252,0),AI252/P252*P253),MAX(AI252+(Wfc-Wwp)*(P253-P252)*AI252/R252,0))</f>
        <v>21.7954752403451</v>
      </c>
      <c r="W253" s="99">
        <f ca="1">IF(S253&gt;1,IF(P253&gt;P252,MAX(AJ252-(Wfc-Wwp)*(P253-P252)*AJ252/S252,0),MAX(AJ252-(Wfc-Wwp)*(P253-P252)*AI252/R252,0)),0)</f>
        <v>3.26612908773781e-7</v>
      </c>
      <c r="X253" s="99">
        <f ca="1">IF(AND(OR(AND(dec_vide_TAW&lt;0,V253&gt;R253*(p+0.04*(5-I252))),AND(dec_vide_TAW&gt;0,V253&gt;R253*dec_vide_TAW)),H253&gt;MAX(INDEX(H:H,Lig_min,1):INDEX(H:H,ROW(X253),1))*Kcbmax_stop_irrig*IF(ROW(X253)-lig_kcbmax&gt;0,1,0),MIN(INDEX(H:H,ROW(X253),1):INDEX(H:H,lig_kcbmax,1))&gt;Kcbmin_start_irrig),MIN(MAX(V253-E253*Irri_man-C253,0),Lame_max),0)</f>
        <v>0</v>
      </c>
      <c r="Y253" s="99">
        <f ca="1">MIN(MAX(T253-C253-IF(fw&gt;0,X253/fw*Irri_auto+E253/fw*Irri_man,0),0),TEW)</f>
        <v>6.71744521639502</v>
      </c>
      <c r="Z253" s="99">
        <f ca="1">MIN(MAX(U253-C253,0),TEW)</f>
        <v>6.71744521639502</v>
      </c>
      <c r="AA253" s="99">
        <f ca="1">MIN(MAX(V253-C253-(X253*Irri_auto+E253*Irri_man),0),R253)</f>
        <v>21.7954752403451</v>
      </c>
      <c r="AB253" s="99">
        <f ca="1">MIN(MAX(W253+MIN(V253-C253-(X253*Irri_auto+E253*Irri_man),0),0),S253)</f>
        <v>3.26612908773781e-7</v>
      </c>
      <c r="AC253" s="99">
        <f ca="1">-MIN(W253+MIN(V253-C253-(X253*Irri_auto+E253*Irri_man),0),0)</f>
        <v>0</v>
      </c>
      <c r="AD253" s="39">
        <f ca="1">IF(((R253-AA253)/P253-((Wfc-Wwp)*Ze-Y253)/Ze)/Wfc*DiffE&lt;0,MAX(((R253-AA253)/P253-((Wfc-Wwp)*Ze-Y253)/Ze)/Wfc*DiffE,(R253*Ze-((Wfc-Wwp)*Ze-Y253-AA253)*P253)/(P253+Ze)-AA253),MIN(((R253-AA253)/P253-((Wfc-Wwp)*Ze-Y253)/Ze)/Wfc*DiffE,(R253*Ze-((Wfc-Wwp)*Ze-Y253-AA253)*P253)/(P253+Ze)-AA253))</f>
        <v>4.28567831423489e-8</v>
      </c>
      <c r="AE253" s="39">
        <f ca="1">IF(((R253-AA253)/P253-((Wfc-Wwp)*Ze-Z253)/Ze)/Wfc*DiffE&lt;0,MAX(((R253-AA253)/P253-((Wfc-Wwp)*Ze-Z253)/Ze)/Wfc*DiffE,(R253*Ze-((Wfc-Wwp)*Ze-Z253-AA253)*P253)/(P253+Ze)-AA253),MIN(((R253-AA253)/P253-((Wfc-Wwp)*Ze-Z253)/Ze)/Wfc*DiffE,(R253*Ze-((Wfc-Wwp)*Ze-Z253-AA253)*P253)/(P253+Ze)-AA253))</f>
        <v>4.28567831423489e-8</v>
      </c>
      <c r="AF253" s="39">
        <f ca="1">IF(((S253-AB253)/Q253-(R253-AA253)/P253)/Wfc*DiffR&lt;0,MAX(((S253-AB253)/Q253-(R253-AA253)/P253)/Wfc*DiffR,(S253*P253-(R253-AA253-AB253)*Q253)/(P253+Q253)-AB253),MIN(((S253-AB253)/Q253-(R253-AA253)/P253)/Wfc*DiffR,(S253*P253-(R253-AA253-AB253)*Q253)/(P253+Q253)-AB253))</f>
        <v>9.14920766113177e-8</v>
      </c>
      <c r="AG253" s="99">
        <f ca="1">MIN(MAX(Y253+IF(AU253&gt;0,B253*AZ253/AU253,0)+BE253-AD253,0),TEW)</f>
        <v>7.96243591901449</v>
      </c>
      <c r="AH253" s="99">
        <f ca="1">MIN(MAX(Z253+IF(AV253&gt;0,B253*BA253/AV253,0)+BF253-AE253,0),TEW)</f>
        <v>7.96243591901449</v>
      </c>
      <c r="AI253" s="99">
        <f ca="1" t="shared" si="34"/>
        <v>24.6584635180812</v>
      </c>
      <c r="AJ253" s="99">
        <f ca="1" t="shared" si="35"/>
        <v>4.18104985385098e-7</v>
      </c>
      <c r="AK253" s="70">
        <f ca="1">IF((AU253+AV253)&gt;0,(TEW-(AG253*AU253+AH253*AV253)/(AU253+AV253))/TEW,(TEW-(AG253+AH253)/2)/TEW)</f>
        <v>0.759624576029751</v>
      </c>
      <c r="AL253" s="70">
        <f ca="1" t="shared" si="36"/>
        <v>0.681506917225483</v>
      </c>
      <c r="AM253" s="70">
        <f ca="1" t="shared" si="37"/>
        <v>0.999999824429104</v>
      </c>
      <c r="AN253" s="70">
        <f ca="1">Wwp+(Wfc-Wwp)*IF((AU253+AV253)&gt;0,(TEW-(AG253*AU253+AH253*AV253)/(AU253+AV253))/TEW,(TEW-(AG253+AH253)/2)/TEW)</f>
        <v>0.368751194883868</v>
      </c>
      <c r="AO253" s="70">
        <f ca="1">Wwp+(Wfc-Wwp)*(R253-AI253)/R253</f>
        <v>0.358595899239313</v>
      </c>
      <c r="AP253" s="70">
        <f ca="1">Wwp+(Wfc-Wwp)*(S253-AJ253)/S253</f>
        <v>0.399999977175784</v>
      </c>
      <c r="AQ253" s="70"/>
      <c r="AR253" s="70"/>
      <c r="AS253" s="70"/>
      <c r="AT253" s="70"/>
      <c r="AU253" s="70">
        <f ca="1">MIN((1-G253),fw)</f>
        <v>0</v>
      </c>
      <c r="AV253" s="70">
        <f ca="1" t="shared" si="38"/>
        <v>0</v>
      </c>
      <c r="AW253" s="70">
        <f ca="1">MIN((TEW-Y253)/(TEW-REW),1)</f>
        <v>0.101467352144475</v>
      </c>
      <c r="AX253" s="70">
        <f ca="1">MIN((TEW-Z253)/(TEW-REW),1)</f>
        <v>0.101467352144475</v>
      </c>
      <c r="AY253" s="70">
        <f ca="1">IF((AU253*(TEW-Y253))&gt;0,1/(1+((AV253*(TEW-Z253))/(AU253*(TEW-Y253)))),0)</f>
        <v>0</v>
      </c>
      <c r="AZ253" s="70">
        <f ca="1">MIN((AY253*AW253*(Kcmax-H253)),AU253*Kcmax)</f>
        <v>0</v>
      </c>
      <c r="BA253" s="70">
        <f ca="1">MIN(((1-AY253)*AX253*(Kcmax-H253)),AV253*Kcmax)</f>
        <v>0</v>
      </c>
      <c r="BB253" s="70">
        <f ca="1" t="shared" si="39"/>
        <v>0</v>
      </c>
      <c r="BC253" s="70">
        <f ca="1">MIN((R253-AA253)/(R253*(1-(p+0.04*(5-I252)))),1)</f>
        <v>1</v>
      </c>
      <c r="BD253" s="10">
        <f ca="1" t="shared" si="40"/>
        <v>2.86298836922812</v>
      </c>
      <c r="BE253" s="70">
        <f ca="1">MIN(IF((1-AA253/R253)&gt;0,(1-Y253/TEW)/(1-AA253/R253)*(Ze/P253)^0.6,0),1)*BC253*H253*B253</f>
        <v>1.24499074547625</v>
      </c>
      <c r="BF253" s="70">
        <f ca="1">MIN(IF((1-AA253/R253)&gt;0,(1-Z253/TEW)/(1-AA253/R253)*(Ze/P253)^0.6,0),1)*BC253*H253*B253</f>
        <v>1.24499074547625</v>
      </c>
      <c r="BH253" s="10">
        <f ca="1" t="shared" si="41"/>
        <v>0.0236271235454752</v>
      </c>
      <c r="BI253" s="10">
        <f ca="1">IF(F253&lt;&gt;"",(Moy_Etobs-F253)^2,"")</f>
        <v>1.2108903439973</v>
      </c>
    </row>
    <row r="254" spans="1:61">
      <c r="A254" s="38">
        <v>39247</v>
      </c>
      <c r="B254" s="10">
        <v>3.572</v>
      </c>
      <c r="C254" s="39">
        <v>4.158</v>
      </c>
      <c r="D254" s="10">
        <v>0.553</v>
      </c>
      <c r="E254" s="39">
        <v>0</v>
      </c>
      <c r="F254" s="10">
        <v>1.7380116</v>
      </c>
      <c r="G254" s="10">
        <f ca="1">MIN(MAX(IF(AND(Durpla&gt;ROW()-MATCH(NDVImax,INDEX(D:D,Lig_min,1):INDEX(D:D,Lig_max,1),0)-Lig_min+1,ROW()-MATCH(NDVImax,INDEX(D:D,Lig_min,1):INDEX(D:D,Lig_max,1),0)-Lig_min+1&gt;0,D254*a_fc+b_fc&gt;fc_fin),NDVImax*a_fc+b_fc,D254*a_fc+b_fc),0),1)</f>
        <v>1</v>
      </c>
      <c r="H254" s="55">
        <f>MIN(MAX(D254*a_kcb+b_kcb,0),Kcmax)</f>
        <v>0.605732917815411</v>
      </c>
      <c r="I254" s="70">
        <f ca="1" t="shared" si="33"/>
        <v>2.16367798243665</v>
      </c>
      <c r="O254" s="55"/>
      <c r="P254" s="35">
        <f ca="1">IF(ROW()-MATCH(NDVImax,INDEX(D:D,Lig_min,1):INDEX(D:D,Lig_max,1),0)-Lig_min+1&gt;0,MAX(MIN(Zr_min+MAX(INDEX(G:G,Lig_min,1):INDEX(G:G,Lig_max,1))/MAX(MAX(INDEX(G:G,Lig_min,1):INDEX(G:G,Lig_max,1)),Max_fc_pour_Zrmax)*(Zr_max-Zr_min),Zr_max),Ze+0.001),MAX(MIN(Zr_min+G254/MAX(MAX(INDEX(G:G,Lig_min,1):INDEX(G:G,Lig_max,1)),Max_fc_pour_Zrmax)*(Zr_max-Zr_min),Zr_max),Ze+0.001))</f>
        <v>595.55606968994</v>
      </c>
      <c r="Q254" s="35">
        <f ca="1">IF(Z_sol&gt;0,Z_sol-P254,0.1)</f>
        <v>18.318481374494</v>
      </c>
      <c r="R254" s="35">
        <f ca="1">(Wfc-Wwp)*P254</f>
        <v>77.4222890596922</v>
      </c>
      <c r="S254" s="35">
        <f ca="1">(Wfc-Wwp)*Q254</f>
        <v>2.38140257868422</v>
      </c>
      <c r="T254" s="99">
        <f ca="1" t="shared" si="42"/>
        <v>7.96243591901449</v>
      </c>
      <c r="U254" s="99">
        <f ca="1" t="shared" si="43"/>
        <v>7.96243591901449</v>
      </c>
      <c r="V254" s="99">
        <f ca="1">IF(P254&gt;P253,IF(Q254&gt;1,MAX(AI253+(Wfc-Wwp)*(P254-P253)*AJ253/S253,0),AI253/P253*P254),MAX(AI253+(Wfc-Wwp)*(P254-P253)*AI253/R253,0))</f>
        <v>24.6584635180812</v>
      </c>
      <c r="W254" s="99">
        <f ca="1">IF(S254&gt;1,IF(P254&gt;P253,MAX(AJ253-(Wfc-Wwp)*(P254-P253)*AJ253/S253,0),MAX(AJ253-(Wfc-Wwp)*(P254-P253)*AI253/R253,0)),0)</f>
        <v>4.18104985385098e-7</v>
      </c>
      <c r="X254" s="99">
        <f ca="1">IF(AND(OR(AND(dec_vide_TAW&lt;0,V254&gt;R254*(p+0.04*(5-I253))),AND(dec_vide_TAW&gt;0,V254&gt;R254*dec_vide_TAW)),H254&gt;MAX(INDEX(H:H,Lig_min,1):INDEX(H:H,ROW(X254),1))*Kcbmax_stop_irrig*IF(ROW(X254)-lig_kcbmax&gt;0,1,0),MIN(INDEX(H:H,ROW(X254),1):INDEX(H:H,lig_kcbmax,1))&gt;Kcbmin_start_irrig),MIN(MAX(V254-E254*Irri_man-C254,0),Lame_max),0)</f>
        <v>0</v>
      </c>
      <c r="Y254" s="99">
        <f ca="1">MIN(MAX(T254-C254-IF(fw&gt;0,X254/fw*Irri_auto+E254/fw*Irri_man,0),0),TEW)</f>
        <v>3.80443591901449</v>
      </c>
      <c r="Z254" s="99">
        <f ca="1">MIN(MAX(U254-C254,0),TEW)</f>
        <v>3.80443591901449</v>
      </c>
      <c r="AA254" s="99">
        <f ca="1">MIN(MAX(V254-C254-(X254*Irri_auto+E254*Irri_man),0),R254)</f>
        <v>20.5004635180812</v>
      </c>
      <c r="AB254" s="99">
        <f ca="1">MIN(MAX(W254+MIN(V254-C254-(X254*Irri_auto+E254*Irri_man),0),0),S254)</f>
        <v>4.18104985385098e-7</v>
      </c>
      <c r="AC254" s="99">
        <f ca="1">-MIN(W254+MIN(V254-C254-(X254*Irri_auto+E254*Irri_man),0),0)</f>
        <v>0</v>
      </c>
      <c r="AD254" s="39">
        <f ca="1">IF(((R254-AA254)/P254-((Wfc-Wwp)*Ze-Y254)/Ze)/Wfc*DiffE&lt;0,MAX(((R254-AA254)/P254-((Wfc-Wwp)*Ze-Y254)/Ze)/Wfc*DiffE,(R254*Ze-((Wfc-Wwp)*Ze-Y254-AA254)*P254)/(P254+Ze)-AA254),MIN(((R254-AA254)/P254-((Wfc-Wwp)*Ze-Y254)/Ze)/Wfc*DiffE,(R254*Ze-((Wfc-Wwp)*Ze-Y254-AA254)*P254)/(P254+Ze)-AA254))</f>
        <v>-9.96725754467281e-9</v>
      </c>
      <c r="AE254" s="39">
        <f ca="1">IF(((R254-AA254)/P254-((Wfc-Wwp)*Ze-Z254)/Ze)/Wfc*DiffE&lt;0,MAX(((R254-AA254)/P254-((Wfc-Wwp)*Ze-Z254)/Ze)/Wfc*DiffE,(R254*Ze-((Wfc-Wwp)*Ze-Z254-AA254)*P254)/(P254+Ze)-AA254),MIN(((R254-AA254)/P254-((Wfc-Wwp)*Ze-Z254)/Ze)/Wfc*DiffE,(R254*Ze-((Wfc-Wwp)*Ze-Z254-AA254)*P254)/(P254+Ze)-AA254))</f>
        <v>-9.96725754467281e-9</v>
      </c>
      <c r="AF254" s="39">
        <f ca="1">IF(((S254-AB254)/Q254-(R254-AA254)/P254)/Wfc*DiffR&lt;0,MAX(((S254-AB254)/Q254-(R254-AA254)/P254)/Wfc*DiffR,(S254*P254-(R254-AA254-AB254)*Q254)/(P254+Q254)-AB254),MIN(((S254-AB254)/Q254-(R254-AA254)/P254)/Wfc*DiffR,(S254*P254-(R254-AA254-AB254)*Q254)/(P254+Q254)-AB254))</f>
        <v>8.60559188644214e-8</v>
      </c>
      <c r="AG254" s="99">
        <f ca="1">MIN(MAX(Y254+IF(AU254&gt;0,B254*AZ254/AU254,0)+BE254-AD254,0),TEW)</f>
        <v>4.825348760224</v>
      </c>
      <c r="AH254" s="99">
        <f ca="1">MIN(MAX(Z254+IF(AV254&gt;0,B254*BA254/AV254,0)+BF254-AE254,0),TEW)</f>
        <v>4.825348760224</v>
      </c>
      <c r="AI254" s="99">
        <f ca="1" t="shared" si="34"/>
        <v>22.6641414144619</v>
      </c>
      <c r="AJ254" s="99">
        <f ca="1" t="shared" si="35"/>
        <v>5.0416090424952e-7</v>
      </c>
      <c r="AK254" s="70">
        <f ca="1">IF((AU254+AV254)&gt;0,(TEW-(AG254*AU254+AH254*AV254)/(AU254+AV254))/TEW,(TEW-(AG254+AH254)/2)/TEW)</f>
        <v>0.854329094030974</v>
      </c>
      <c r="AL254" s="70">
        <f ca="1" t="shared" si="36"/>
        <v>0.707265934788005</v>
      </c>
      <c r="AM254" s="70">
        <f ca="1" t="shared" si="37"/>
        <v>0.999999788292451</v>
      </c>
      <c r="AN254" s="70">
        <f ca="1">Wwp+(Wfc-Wwp)*IF((AU254+AV254)&gt;0,(TEW-(AG254*AU254+AH254*AV254)/(AU254+AV254))/TEW,(TEW-(AG254+AH254)/2)/TEW)</f>
        <v>0.381062782224027</v>
      </c>
      <c r="AO254" s="70">
        <f ca="1">Wwp+(Wfc-Wwp)*(R254-AI254)/R254</f>
        <v>0.361944571522441</v>
      </c>
      <c r="AP254" s="70">
        <f ca="1">Wwp+(Wfc-Wwp)*(S254-AJ254)/S254</f>
        <v>0.399999972478019</v>
      </c>
      <c r="AQ254" s="70"/>
      <c r="AR254" s="70"/>
      <c r="AS254" s="70"/>
      <c r="AT254" s="70"/>
      <c r="AU254" s="70">
        <f ca="1">MIN((1-G254),fw)</f>
        <v>0</v>
      </c>
      <c r="AV254" s="70">
        <f ca="1" t="shared" si="38"/>
        <v>0</v>
      </c>
      <c r="AW254" s="70">
        <f ca="1">MIN((TEW-Y254)/(TEW-REW),1)</f>
        <v>0.112660184748611</v>
      </c>
      <c r="AX254" s="70">
        <f ca="1">MIN((TEW-Z254)/(TEW-REW),1)</f>
        <v>0.112660184748611</v>
      </c>
      <c r="AY254" s="70">
        <f ca="1">IF((AU254*(TEW-Y254))&gt;0,1/(1+((AV254*(TEW-Z254))/(AU254*(TEW-Y254)))),0)</f>
        <v>0</v>
      </c>
      <c r="AZ254" s="70">
        <f ca="1">MIN((AY254*AW254*(Kcmax-H254)),AU254*Kcmax)</f>
        <v>0</v>
      </c>
      <c r="BA254" s="70">
        <f ca="1">MIN(((1-AY254)*AX254*(Kcmax-H254)),AV254*Kcmax)</f>
        <v>0</v>
      </c>
      <c r="BB254" s="70">
        <f ca="1" t="shared" si="39"/>
        <v>0</v>
      </c>
      <c r="BC254" s="70">
        <f ca="1">MIN((R254-AA254)/(R254*(1-(p+0.04*(5-I253)))),1)</f>
        <v>1</v>
      </c>
      <c r="BD254" s="10">
        <f ca="1" t="shared" si="40"/>
        <v>2.16367798243665</v>
      </c>
      <c r="BE254" s="70">
        <f ca="1">MIN(IF((1-AA254/R254)&gt;0,(1-Y254/TEW)/(1-AA254/R254)*(Ze/P254)^0.6,0),1)*BC254*H254*B254</f>
        <v>1.02091283124225</v>
      </c>
      <c r="BF254" s="70">
        <f ca="1">MIN(IF((1-AA254/R254)&gt;0,(1-Z254/TEW)/(1-AA254/R254)*(Ze/P254)^0.6,0),1)*BC254*H254*B254</f>
        <v>1.02091283124225</v>
      </c>
      <c r="BH254" s="10">
        <f ca="1" t="shared" si="41"/>
        <v>0.181191869136703</v>
      </c>
      <c r="BI254" s="10">
        <f ca="1">IF(F254&lt;&gt;"",(Moy_Etobs-F254)^2,"")</f>
        <v>0.0166768883971105</v>
      </c>
    </row>
    <row r="255" spans="1:61">
      <c r="A255" s="38">
        <v>39248</v>
      </c>
      <c r="B255" s="10">
        <v>3.878</v>
      </c>
      <c r="C255" s="39">
        <v>13.666</v>
      </c>
      <c r="D255" s="10">
        <v>0.537</v>
      </c>
      <c r="E255" s="39">
        <v>0</v>
      </c>
      <c r="F255" s="10">
        <v>3.2290938</v>
      </c>
      <c r="G255" s="10">
        <f ca="1">MIN(MAX(IF(AND(Durpla&gt;ROW()-MATCH(NDVImax,INDEX(D:D,Lig_min,1):INDEX(D:D,Lig_max,1),0)-Lig_min+1,ROW()-MATCH(NDVImax,INDEX(D:D,Lig_min,1):INDEX(D:D,Lig_max,1),0)-Lig_min+1&gt;0,D255*a_fc+b_fc&gt;fc_fin),NDVImax*a_fc+b_fc,D255*a_fc+b_fc),0),1)</f>
        <v>1</v>
      </c>
      <c r="H255" s="55">
        <f>MIN(MAX(D255*a_kcb+b_kcb,0),Kcmax)</f>
        <v>0.581683968224725</v>
      </c>
      <c r="I255" s="70">
        <f ca="1" t="shared" si="33"/>
        <v>2.25577042877548</v>
      </c>
      <c r="O255" s="55"/>
      <c r="P255" s="35">
        <f ca="1">IF(ROW()-MATCH(NDVImax,INDEX(D:D,Lig_min,1):INDEX(D:D,Lig_max,1),0)-Lig_min+1&gt;0,MAX(MIN(Zr_min+MAX(INDEX(G:G,Lig_min,1):INDEX(G:G,Lig_max,1))/MAX(MAX(INDEX(G:G,Lig_min,1):INDEX(G:G,Lig_max,1)),Max_fc_pour_Zrmax)*(Zr_max-Zr_min),Zr_max),Ze+0.001),MAX(MIN(Zr_min+G255/MAX(MAX(INDEX(G:G,Lig_min,1):INDEX(G:G,Lig_max,1)),Max_fc_pour_Zrmax)*(Zr_max-Zr_min),Zr_max),Ze+0.001))</f>
        <v>595.55606968994</v>
      </c>
      <c r="Q255" s="35">
        <f ca="1">IF(Z_sol&gt;0,Z_sol-P255,0.1)</f>
        <v>18.318481374494</v>
      </c>
      <c r="R255" s="35">
        <f ca="1">(Wfc-Wwp)*P255</f>
        <v>77.4222890596922</v>
      </c>
      <c r="S255" s="35">
        <f ca="1">(Wfc-Wwp)*Q255</f>
        <v>2.38140257868422</v>
      </c>
      <c r="T255" s="99">
        <f ca="1" t="shared" si="42"/>
        <v>4.825348760224</v>
      </c>
      <c r="U255" s="99">
        <f ca="1" t="shared" si="43"/>
        <v>4.825348760224</v>
      </c>
      <c r="V255" s="99">
        <f ca="1">IF(P255&gt;P254,IF(Q255&gt;1,MAX(AI254+(Wfc-Wwp)*(P255-P254)*AJ254/S254,0),AI254/P254*P255),MAX(AI254+(Wfc-Wwp)*(P255-P254)*AI254/R254,0))</f>
        <v>22.6641414144619</v>
      </c>
      <c r="W255" s="99">
        <f ca="1">IF(S255&gt;1,IF(P255&gt;P254,MAX(AJ254-(Wfc-Wwp)*(P255-P254)*AJ254/S254,0),MAX(AJ254-(Wfc-Wwp)*(P255-P254)*AI254/R254,0)),0)</f>
        <v>5.0416090424952e-7</v>
      </c>
      <c r="X255" s="99">
        <f ca="1">IF(AND(OR(AND(dec_vide_TAW&lt;0,V255&gt;R255*(p+0.04*(5-I254))),AND(dec_vide_TAW&gt;0,V255&gt;R255*dec_vide_TAW)),H255&gt;MAX(INDEX(H:H,Lig_min,1):INDEX(H:H,ROW(X255),1))*Kcbmax_stop_irrig*IF(ROW(X255)-lig_kcbmax&gt;0,1,0),MIN(INDEX(H:H,ROW(X255),1):INDEX(H:H,lig_kcbmax,1))&gt;Kcbmin_start_irrig),MIN(MAX(V255-E255*Irri_man-C255,0),Lame_max),0)</f>
        <v>0</v>
      </c>
      <c r="Y255" s="99">
        <f ca="1">MIN(MAX(T255-C255-IF(fw&gt;0,X255/fw*Irri_auto+E255/fw*Irri_man,0),0),TEW)</f>
        <v>0</v>
      </c>
      <c r="Z255" s="99">
        <f ca="1">MIN(MAX(U255-C255,0),TEW)</f>
        <v>0</v>
      </c>
      <c r="AA255" s="99">
        <f ca="1">MIN(MAX(V255-C255-(X255*Irri_auto+E255*Irri_man),0),R255)</f>
        <v>8.99814141446188</v>
      </c>
      <c r="AB255" s="99">
        <f ca="1">MIN(MAX(W255+MIN(V255-C255-(X255*Irri_auto+E255*Irri_man),0),0),S255)</f>
        <v>5.0416090424952e-7</v>
      </c>
      <c r="AC255" s="99">
        <f ca="1">-MIN(W255+MIN(V255-C255-(X255*Irri_auto+E255*Irri_man),0),0)</f>
        <v>0</v>
      </c>
      <c r="AD255" s="39">
        <f ca="1">IF(((R255-AA255)/P255-((Wfc-Wwp)*Ze-Y255)/Ze)/Wfc*DiffE&lt;0,MAX(((R255-AA255)/P255-((Wfc-Wwp)*Ze-Y255)/Ze)/Wfc*DiffE,(R255*Ze-((Wfc-Wwp)*Ze-Y255-AA255)*P255)/(P255+Ze)-AA255),MIN(((R255-AA255)/P255-((Wfc-Wwp)*Ze-Y255)/Ze)/Wfc*DiffE,(R255*Ze-((Wfc-Wwp)*Ze-Y255-AA255)*P255)/(P255+Ze)-AA255))</f>
        <v>-3.77720162399928e-8</v>
      </c>
      <c r="AE255" s="39">
        <f ca="1">IF(((R255-AA255)/P255-((Wfc-Wwp)*Ze-Z255)/Ze)/Wfc*DiffE&lt;0,MAX(((R255-AA255)/P255-((Wfc-Wwp)*Ze-Z255)/Ze)/Wfc*DiffE,(R255*Ze-((Wfc-Wwp)*Ze-Z255-AA255)*P255)/(P255+Ze)-AA255),MIN(((R255-AA255)/P255-((Wfc-Wwp)*Ze-Z255)/Ze)/Wfc*DiffE,(R255*Ze-((Wfc-Wwp)*Ze-Z255-AA255)*P255)/(P255+Ze)-AA255))</f>
        <v>-3.77720162399928e-8</v>
      </c>
      <c r="AF255" s="39">
        <f ca="1">IF(((S255-AB255)/Q255-(R255-AA255)/P255)/Wfc*DiffR&lt;0,MAX(((S255-AB255)/Q255-(R255-AA255)/P255)/Wfc*DiffR,(S255*P255-(R255-AA255-AB255)*Q255)/(P255+Q255)-AB255),MIN(((S255-AB255)/Q255-(R255-AA255)/P255)/Wfc*DiffR,(S255*P255-(R255-AA255-AB255)*Q255)/(P255+Q255)-AB255))</f>
        <v>3.77719474350393e-8</v>
      </c>
      <c r="AG255" s="99">
        <f ca="1">MIN(MAX(Y255+IF(AU255&gt;0,B255*AZ255/AU255,0)+BE255-AD255,0),TEW)</f>
        <v>1.00033149263961</v>
      </c>
      <c r="AH255" s="99">
        <f ca="1">MIN(MAX(Z255+IF(AV255&gt;0,B255*BA255/AV255,0)+BF255-AE255,0),TEW)</f>
        <v>1.00033149263961</v>
      </c>
      <c r="AI255" s="99">
        <f ca="1" t="shared" si="34"/>
        <v>11.2539118054654</v>
      </c>
      <c r="AJ255" s="99">
        <f ca="1" t="shared" si="35"/>
        <v>5.41932851684559e-7</v>
      </c>
      <c r="AK255" s="70">
        <f ca="1">IF((AU255+AV255)&gt;0,(TEW-(AG255*AU255+AH255*AV255)/(AU255+AV255))/TEW,(TEW-(AG255+AH255)/2)/TEW)</f>
        <v>0.969801313429748</v>
      </c>
      <c r="AL255" s="70">
        <f ca="1" t="shared" si="36"/>
        <v>0.854642481614194</v>
      </c>
      <c r="AM255" s="70">
        <f ca="1" t="shared" si="37"/>
        <v>0.999999772431232</v>
      </c>
      <c r="AN255" s="70">
        <f ca="1">Wwp+(Wfc-Wwp)*IF((AU255+AV255)&gt;0,(TEW-(AG255*AU255+AH255*AV255)/(AU255+AV255))/TEW,(TEW-(AG255+AH255)/2)/TEW)</f>
        <v>0.396074170745867</v>
      </c>
      <c r="AO255" s="70">
        <f ca="1">Wwp+(Wfc-Wwp)*(R255-AI255)/R255</f>
        <v>0.381103522609845</v>
      </c>
      <c r="AP255" s="70">
        <f ca="1">Wwp+(Wfc-Wwp)*(S255-AJ255)/S255</f>
        <v>0.39999997041606</v>
      </c>
      <c r="AQ255" s="70"/>
      <c r="AR255" s="70"/>
      <c r="AS255" s="70"/>
      <c r="AT255" s="70"/>
      <c r="AU255" s="70">
        <f ca="1">MIN((1-G255),fw)</f>
        <v>0</v>
      </c>
      <c r="AV255" s="70">
        <f ca="1" t="shared" si="38"/>
        <v>0</v>
      </c>
      <c r="AW255" s="70">
        <f ca="1">MIN((TEW-Y255)/(TEW-REW),1)</f>
        <v>0.12727820001996</v>
      </c>
      <c r="AX255" s="70">
        <f ca="1">MIN((TEW-Z255)/(TEW-REW),1)</f>
        <v>0.12727820001996</v>
      </c>
      <c r="AY255" s="70">
        <f ca="1">IF((AU255*(TEW-Y255))&gt;0,1/(1+((AV255*(TEW-Z255))/(AU255*(TEW-Y255)))),0)</f>
        <v>0</v>
      </c>
      <c r="AZ255" s="70">
        <f ca="1">MIN((AY255*AW255*(Kcmax-H255)),AU255*Kcmax)</f>
        <v>0</v>
      </c>
      <c r="BA255" s="70">
        <f ca="1">MIN(((1-AY255)*AX255*(Kcmax-H255)),AV255*Kcmax)</f>
        <v>0</v>
      </c>
      <c r="BB255" s="70">
        <f ca="1" t="shared" si="39"/>
        <v>0</v>
      </c>
      <c r="BC255" s="70">
        <f ca="1">MIN((R255-AA255)/(R255*(1-(p+0.04*(5-I254)))),1)</f>
        <v>1</v>
      </c>
      <c r="BD255" s="10">
        <f ca="1" t="shared" si="40"/>
        <v>2.25577042877548</v>
      </c>
      <c r="BE255" s="70">
        <f ca="1">MIN(IF((1-AA255/R255)&gt;0,(1-Y255/TEW)/(1-AA255/R255)*(Ze/P255)^0.6,0),1)*BC255*H255*B255</f>
        <v>1.00033145486759</v>
      </c>
      <c r="BF255" s="70">
        <f ca="1">MIN(IF((1-AA255/R255)&gt;0,(1-Z255/TEW)/(1-AA255/R255)*(Ze/P255)^0.6,0),1)*BC255*H255*B255</f>
        <v>1.00033145486759</v>
      </c>
      <c r="BH255" s="10">
        <f ca="1" t="shared" si="41"/>
        <v>0.947358384971859</v>
      </c>
      <c r="BI255" s="10">
        <f ca="1">IF(F255&lt;&gt;"",(Moy_Etobs-F255)^2,"")</f>
        <v>2.62511682570869</v>
      </c>
    </row>
    <row r="256" spans="1:61">
      <c r="A256" s="38">
        <v>39249</v>
      </c>
      <c r="B256" s="10">
        <v>4.823</v>
      </c>
      <c r="C256" s="39">
        <v>5.346</v>
      </c>
      <c r="D256" s="10">
        <v>0.522</v>
      </c>
      <c r="E256" s="39">
        <v>0</v>
      </c>
      <c r="F256" s="10">
        <v>2.7662256</v>
      </c>
      <c r="G256" s="10">
        <f ca="1">MIN(MAX(IF(AND(Durpla&gt;ROW()-MATCH(NDVImax,INDEX(D:D,Lig_min,1):INDEX(D:D,Lig_max,1),0)-Lig_min+1,ROW()-MATCH(NDVImax,INDEX(D:D,Lig_min,1):INDEX(D:D,Lig_max,1),0)-Lig_min+1&gt;0,D256*a_fc+b_fc&gt;fc_fin),NDVImax*a_fc+b_fc,D256*a_fc+b_fc),0),1)</f>
        <v>1</v>
      </c>
      <c r="H256" s="55">
        <f>MIN(MAX(D256*a_kcb+b_kcb,0),Kcmax)</f>
        <v>0.559138077983456</v>
      </c>
      <c r="I256" s="70">
        <f ca="1" t="shared" si="33"/>
        <v>2.69672295011421</v>
      </c>
      <c r="O256" s="55"/>
      <c r="P256" s="35">
        <f ca="1">IF(ROW()-MATCH(NDVImax,INDEX(D:D,Lig_min,1):INDEX(D:D,Lig_max,1),0)-Lig_min+1&gt;0,MAX(MIN(Zr_min+MAX(INDEX(G:G,Lig_min,1):INDEX(G:G,Lig_max,1))/MAX(MAX(INDEX(G:G,Lig_min,1):INDEX(G:G,Lig_max,1)),Max_fc_pour_Zrmax)*(Zr_max-Zr_min),Zr_max),Ze+0.001),MAX(MIN(Zr_min+G256/MAX(MAX(INDEX(G:G,Lig_min,1):INDEX(G:G,Lig_max,1)),Max_fc_pour_Zrmax)*(Zr_max-Zr_min),Zr_max),Ze+0.001))</f>
        <v>595.55606968994</v>
      </c>
      <c r="Q256" s="35">
        <f ca="1">IF(Z_sol&gt;0,Z_sol-P256,0.1)</f>
        <v>18.318481374494</v>
      </c>
      <c r="R256" s="35">
        <f ca="1">(Wfc-Wwp)*P256</f>
        <v>77.4222890596922</v>
      </c>
      <c r="S256" s="35">
        <f ca="1">(Wfc-Wwp)*Q256</f>
        <v>2.38140257868422</v>
      </c>
      <c r="T256" s="99">
        <f ca="1" t="shared" si="42"/>
        <v>1.00033149263961</v>
      </c>
      <c r="U256" s="99">
        <f ca="1" t="shared" si="43"/>
        <v>1.00033149263961</v>
      </c>
      <c r="V256" s="99">
        <f ca="1">IF(P256&gt;P255,IF(Q256&gt;1,MAX(AI255+(Wfc-Wwp)*(P256-P255)*AJ255/S255,0),AI255/P255*P256),MAX(AI255+(Wfc-Wwp)*(P256-P255)*AI255/R255,0))</f>
        <v>11.2539118054654</v>
      </c>
      <c r="W256" s="99">
        <f ca="1">IF(S256&gt;1,IF(P256&gt;P255,MAX(AJ255-(Wfc-Wwp)*(P256-P255)*AJ255/S255,0),MAX(AJ255-(Wfc-Wwp)*(P256-P255)*AI255/R255,0)),0)</f>
        <v>5.41932851684559e-7</v>
      </c>
      <c r="X256" s="99">
        <f ca="1">IF(AND(OR(AND(dec_vide_TAW&lt;0,V256&gt;R256*(p+0.04*(5-I255))),AND(dec_vide_TAW&gt;0,V256&gt;R256*dec_vide_TAW)),H256&gt;MAX(INDEX(H:H,Lig_min,1):INDEX(H:H,ROW(X256),1))*Kcbmax_stop_irrig*IF(ROW(X256)-lig_kcbmax&gt;0,1,0),MIN(INDEX(H:H,ROW(X256),1):INDEX(H:H,lig_kcbmax,1))&gt;Kcbmin_start_irrig),MIN(MAX(V256-E256*Irri_man-C256,0),Lame_max),0)</f>
        <v>0</v>
      </c>
      <c r="Y256" s="99">
        <f ca="1">MIN(MAX(T256-C256-IF(fw&gt;0,X256/fw*Irri_auto+E256/fw*Irri_man,0),0),TEW)</f>
        <v>0</v>
      </c>
      <c r="Z256" s="99">
        <f ca="1">MIN(MAX(U256-C256,0),TEW)</f>
        <v>0</v>
      </c>
      <c r="AA256" s="99">
        <f ca="1">MIN(MAX(V256-C256-(X256*Irri_auto+E256*Irri_man),0),R256)</f>
        <v>5.90791180546542</v>
      </c>
      <c r="AB256" s="99">
        <f ca="1">MIN(MAX(W256+MIN(V256-C256-(X256*Irri_auto+E256*Irri_man),0),0),S256)</f>
        <v>5.41932851684559e-7</v>
      </c>
      <c r="AC256" s="99">
        <f ca="1">-MIN(W256+MIN(V256-C256-(X256*Irri_auto+E256*Irri_man),0),0)</f>
        <v>0</v>
      </c>
      <c r="AD256" s="39">
        <f ca="1">IF(((R256-AA256)/P256-((Wfc-Wwp)*Ze-Y256)/Ze)/Wfc*DiffE&lt;0,MAX(((R256-AA256)/P256-((Wfc-Wwp)*Ze-Y256)/Ze)/Wfc*DiffE,(R256*Ze-((Wfc-Wwp)*Ze-Y256-AA256)*P256)/(P256+Ze)-AA256),MIN(((R256-AA256)/P256-((Wfc-Wwp)*Ze-Y256)/Ze)/Wfc*DiffE,(R256*Ze-((Wfc-Wwp)*Ze-Y256-AA256)*P256)/(P256+Ze)-AA256))</f>
        <v>-2.47999815052729e-8</v>
      </c>
      <c r="AE256" s="39">
        <f ca="1">IF(((R256-AA256)/P256-((Wfc-Wwp)*Ze-Z256)/Ze)/Wfc*DiffE&lt;0,MAX(((R256-AA256)/P256-((Wfc-Wwp)*Ze-Z256)/Ze)/Wfc*DiffE,(R256*Ze-((Wfc-Wwp)*Ze-Z256-AA256)*P256)/(P256+Ze)-AA256),MIN(((R256-AA256)/P256-((Wfc-Wwp)*Ze-Z256)/Ze)/Wfc*DiffE,(R256*Ze-((Wfc-Wwp)*Ze-Z256-AA256)*P256)/(P256+Ze)-AA256))</f>
        <v>-2.47999815052729e-8</v>
      </c>
      <c r="AF256" s="39">
        <f ca="1">IF(((S256-AB256)/Q256-(R256-AA256)/P256)/Wfc*DiffR&lt;0,MAX(((S256-AB256)/Q256-(R256-AA256)/P256)/Wfc*DiffR,(S256*P256-(R256-AA256-AB256)*Q256)/(P256+Q256)-AB256),MIN(((S256-AB256)/Q256-(R256-AA256)/P256)/Wfc*DiffR,(S256*P256-(R256-AA256-AB256)*Q256)/(P256+Q256)-AB256))</f>
        <v>2.47999075454233e-8</v>
      </c>
      <c r="AG256" s="99">
        <f ca="1">MIN(MAX(Y256+IF(AU256&gt;0,B256*AZ256/AU256,0)+BE256-AD256,0),TEW)</f>
        <v>1.14419857248655</v>
      </c>
      <c r="AH256" s="99">
        <f ca="1">MIN(MAX(Z256+IF(AV256&gt;0,B256*BA256/AV256,0)+BF256-AE256,0),TEW)</f>
        <v>1.14419857248655</v>
      </c>
      <c r="AI256" s="99">
        <f ca="1" t="shared" si="34"/>
        <v>8.60463473077972</v>
      </c>
      <c r="AJ256" s="99">
        <f ca="1" t="shared" si="35"/>
        <v>5.66732759229982e-7</v>
      </c>
      <c r="AK256" s="70">
        <f ca="1">IF((AU256+AV256)&gt;0,(TEW-(AG256*AU256+AH256*AV256)/(AU256+AV256))/TEW,(TEW-(AG256+AH256)/2)/TEW)</f>
        <v>0.965458156302293</v>
      </c>
      <c r="AL256" s="70">
        <f ca="1" t="shared" si="36"/>
        <v>0.888861013601063</v>
      </c>
      <c r="AM256" s="70">
        <f ca="1" t="shared" si="37"/>
        <v>0.99999976201724</v>
      </c>
      <c r="AN256" s="70">
        <f ca="1">Wwp+(Wfc-Wwp)*IF((AU256+AV256)&gt;0,(TEW-(AG256*AU256+AH256*AV256)/(AU256+AV256))/TEW,(TEW-(AG256+AH256)/2)/TEW)</f>
        <v>0.395509560319298</v>
      </c>
      <c r="AO256" s="70">
        <f ca="1">Wwp+(Wfc-Wwp)*(R256-AI256)/R256</f>
        <v>0.385551931768138</v>
      </c>
      <c r="AP256" s="70">
        <f ca="1">Wwp+(Wfc-Wwp)*(S256-AJ256)/S256</f>
        <v>0.399999969062241</v>
      </c>
      <c r="AQ256" s="70"/>
      <c r="AR256" s="70"/>
      <c r="AS256" s="70"/>
      <c r="AT256" s="70"/>
      <c r="AU256" s="70">
        <f ca="1">MIN((1-G256),fw)</f>
        <v>0</v>
      </c>
      <c r="AV256" s="70">
        <f ca="1" t="shared" si="38"/>
        <v>0</v>
      </c>
      <c r="AW256" s="70">
        <f ca="1">MIN((TEW-Y256)/(TEW-REW),1)</f>
        <v>0.12727820001996</v>
      </c>
      <c r="AX256" s="70">
        <f ca="1">MIN((TEW-Z256)/(TEW-REW),1)</f>
        <v>0.12727820001996</v>
      </c>
      <c r="AY256" s="70">
        <f ca="1">IF((AU256*(TEW-Y256))&gt;0,1/(1+((AV256*(TEW-Z256))/(AU256*(TEW-Y256)))),0)</f>
        <v>0</v>
      </c>
      <c r="AZ256" s="70">
        <f ca="1">MIN((AY256*AW256*(Kcmax-H256)),AU256*Kcmax)</f>
        <v>0</v>
      </c>
      <c r="BA256" s="70">
        <f ca="1">MIN(((1-AY256)*AX256*(Kcmax-H256)),AV256*Kcmax)</f>
        <v>0</v>
      </c>
      <c r="BB256" s="70">
        <f ca="1" t="shared" si="39"/>
        <v>0</v>
      </c>
      <c r="BC256" s="70">
        <f ca="1">MIN((R256-AA256)/(R256*(1-(p+0.04*(5-I255)))),1)</f>
        <v>1</v>
      </c>
      <c r="BD256" s="10">
        <f ca="1" t="shared" si="40"/>
        <v>2.69672295011421</v>
      </c>
      <c r="BE256" s="70">
        <f ca="1">MIN(IF((1-AA256/R256)&gt;0,(1-Y256/TEW)/(1-AA256/R256)*(Ze/P256)^0.6,0),1)*BC256*H256*B256</f>
        <v>1.14419854768657</v>
      </c>
      <c r="BF256" s="70">
        <f ca="1">MIN(IF((1-AA256/R256)&gt;0,(1-Z256/TEW)/(1-AA256/R256)*(Ze/P256)^0.6,0),1)*BC256*H256*B256</f>
        <v>1.14419854768657</v>
      </c>
      <c r="BH256" s="10">
        <f ca="1" t="shared" si="41"/>
        <v>0.00483061834114671</v>
      </c>
      <c r="BI256" s="10">
        <f ca="1">IF(F256&lt;&gt;"",(Moy_Etobs-F256)^2,"")</f>
        <v>1.3394660300256</v>
      </c>
    </row>
    <row r="257" spans="1:61">
      <c r="A257" s="38">
        <v>39250</v>
      </c>
      <c r="B257" s="10">
        <v>3.092</v>
      </c>
      <c r="C257" s="39">
        <v>0</v>
      </c>
      <c r="D257" s="10">
        <v>0.506</v>
      </c>
      <c r="E257" s="39">
        <v>0</v>
      </c>
      <c r="F257" s="10">
        <v>1.4973192</v>
      </c>
      <c r="G257" s="10">
        <f ca="1">MIN(MAX(IF(AND(Durpla&gt;ROW()-MATCH(NDVImax,INDEX(D:D,Lig_min,1):INDEX(D:D,Lig_max,1),0)-Lig_min+1,ROW()-MATCH(NDVImax,INDEX(D:D,Lig_min,1):INDEX(D:D,Lig_max,1),0)-Lig_min+1&gt;0,D257*a_fc+b_fc&gt;fc_fin),NDVImax*a_fc+b_fc,D257*a_fc+b_fc),0),1)</f>
        <v>1</v>
      </c>
      <c r="H257" s="55">
        <f>MIN(MAX(D257*a_kcb+b_kcb,0),Kcmax)</f>
        <v>0.53508912839277</v>
      </c>
      <c r="I257" s="70">
        <f ca="1" t="shared" si="33"/>
        <v>1.65449558499044</v>
      </c>
      <c r="O257" s="55"/>
      <c r="P257" s="35">
        <f ca="1">IF(ROW()-MATCH(NDVImax,INDEX(D:D,Lig_min,1):INDEX(D:D,Lig_max,1),0)-Lig_min+1&gt;0,MAX(MIN(Zr_min+MAX(INDEX(G:G,Lig_min,1):INDEX(G:G,Lig_max,1))/MAX(MAX(INDEX(G:G,Lig_min,1):INDEX(G:G,Lig_max,1)),Max_fc_pour_Zrmax)*(Zr_max-Zr_min),Zr_max),Ze+0.001),MAX(MIN(Zr_min+G257/MAX(MAX(INDEX(G:G,Lig_min,1):INDEX(G:G,Lig_max,1)),Max_fc_pour_Zrmax)*(Zr_max-Zr_min),Zr_max),Ze+0.001))</f>
        <v>595.55606968994</v>
      </c>
      <c r="Q257" s="35">
        <f ca="1">IF(Z_sol&gt;0,Z_sol-P257,0.1)</f>
        <v>18.318481374494</v>
      </c>
      <c r="R257" s="35">
        <f ca="1">(Wfc-Wwp)*P257</f>
        <v>77.4222890596922</v>
      </c>
      <c r="S257" s="35">
        <f ca="1">(Wfc-Wwp)*Q257</f>
        <v>2.38140257868422</v>
      </c>
      <c r="T257" s="99">
        <f ca="1" t="shared" si="42"/>
        <v>1.14419857248655</v>
      </c>
      <c r="U257" s="99">
        <f ca="1" t="shared" si="43"/>
        <v>1.14419857248655</v>
      </c>
      <c r="V257" s="99">
        <f ca="1">IF(P257&gt;P256,IF(Q257&gt;1,MAX(AI256+(Wfc-Wwp)*(P257-P256)*AJ256/S256,0),AI256/P256*P257),MAX(AI256+(Wfc-Wwp)*(P257-P256)*AI256/R256,0))</f>
        <v>8.60463473077972</v>
      </c>
      <c r="W257" s="99">
        <f ca="1">IF(S257&gt;1,IF(P257&gt;P256,MAX(AJ256-(Wfc-Wwp)*(P257-P256)*AJ256/S256,0),MAX(AJ256-(Wfc-Wwp)*(P257-P256)*AI256/R256,0)),0)</f>
        <v>5.66732759229982e-7</v>
      </c>
      <c r="X257" s="99">
        <f ca="1">IF(AND(OR(AND(dec_vide_TAW&lt;0,V257&gt;R257*(p+0.04*(5-I256))),AND(dec_vide_TAW&gt;0,V257&gt;R257*dec_vide_TAW)),H257&gt;MAX(INDEX(H:H,Lig_min,1):INDEX(H:H,ROW(X257),1))*Kcbmax_stop_irrig*IF(ROW(X257)-lig_kcbmax&gt;0,1,0),MIN(INDEX(H:H,ROW(X257),1):INDEX(H:H,lig_kcbmax,1))&gt;Kcbmin_start_irrig),MIN(MAX(V257-E257*Irri_man-C257,0),Lame_max),0)</f>
        <v>0</v>
      </c>
      <c r="Y257" s="99">
        <f ca="1">MIN(MAX(T257-C257-IF(fw&gt;0,X257/fw*Irri_auto+E257/fw*Irri_man,0),0),TEW)</f>
        <v>1.14419857248655</v>
      </c>
      <c r="Z257" s="99">
        <f ca="1">MIN(MAX(U257-C257,0),TEW)</f>
        <v>1.14419857248655</v>
      </c>
      <c r="AA257" s="99">
        <f ca="1">MIN(MAX(V257-C257-(X257*Irri_auto+E257*Irri_man),0),R257)</f>
        <v>8.60463473077972</v>
      </c>
      <c r="AB257" s="99">
        <f ca="1">MIN(MAX(W257+MIN(V257-C257-(X257*Irri_auto+E257*Irri_man),0),0),S257)</f>
        <v>5.66732759229982e-7</v>
      </c>
      <c r="AC257" s="99">
        <f ca="1">-MIN(W257+MIN(V257-C257-(X257*Irri_auto+E257*Irri_man),0),0)</f>
        <v>0</v>
      </c>
      <c r="AD257" s="39">
        <f ca="1">IF(((R257-AA257)/P257-((Wfc-Wwp)*Ze-Y257)/Ze)/Wfc*DiffE&lt;0,MAX(((R257-AA257)/P257-((Wfc-Wwp)*Ze-Y257)/Ze)/Wfc*DiffE,(R257*Ze-((Wfc-Wwp)*Ze-Y257-AA257)*P257)/(P257+Ze)-AA257),MIN(((R257-AA257)/P257-((Wfc-Wwp)*Ze-Y257)/Ze)/Wfc*DiffE,(R257*Ze-((Wfc-Wwp)*Ze-Y257-AA257)*P257)/(P257+Ze)-AA257))</f>
        <v>-1.32361991299235e-8</v>
      </c>
      <c r="AE257" s="39">
        <f ca="1">IF(((R257-AA257)/P257-((Wfc-Wwp)*Ze-Z257)/Ze)/Wfc*DiffE&lt;0,MAX(((R257-AA257)/P257-((Wfc-Wwp)*Ze-Z257)/Ze)/Wfc*DiffE,(R257*Ze-((Wfc-Wwp)*Ze-Z257-AA257)*P257)/(P257+Ze)-AA257),MIN(((R257-AA257)/P257-((Wfc-Wwp)*Ze-Z257)/Ze)/Wfc*DiffE,(R257*Ze-((Wfc-Wwp)*Ze-Z257-AA257)*P257)/(P257+Ze)-AA257))</f>
        <v>-1.32361991299235e-8</v>
      </c>
      <c r="AF257" s="39">
        <f ca="1">IF(((S257-AB257)/Q257-(R257-AA257)/P257)/Wfc*DiffR&lt;0,MAX(((S257-AB257)/Q257-(R257-AA257)/P257)/Wfc*DiffR,(S257*P257-(R257-AA257-AB257)*Q257)/(P257+Q257)-AB257),MIN(((S257-AB257)/Q257-(R257-AA257)/P257)/Wfc*DiffR,(S257*P257-(R257-AA257-AB257)*Q257)/(P257+Q257)-AB257))</f>
        <v>3.61200932352575e-8</v>
      </c>
      <c r="AG257" s="99">
        <f ca="1">MIN(MAX(Y257+IF(AU257&gt;0,B257*AZ257/AU257,0)+BE257-AD257,0),TEW)</f>
        <v>1.84849848317603</v>
      </c>
      <c r="AH257" s="99">
        <f ca="1">MIN(MAX(Z257+IF(AV257&gt;0,B257*BA257/AV257,0)+BF257-AE257,0),TEW)</f>
        <v>1.84849848317603</v>
      </c>
      <c r="AI257" s="99">
        <f ca="1" t="shared" si="34"/>
        <v>10.2591302796501</v>
      </c>
      <c r="AJ257" s="99">
        <f ca="1" t="shared" si="35"/>
        <v>6.0285285246524e-7</v>
      </c>
      <c r="AK257" s="70">
        <f ca="1">IF((AU257+AV257)&gt;0,(TEW-(AG257*AU257+AH257*AV257)/(AU257+AV257))/TEW,(TEW-(AG257+AH257)/2)/TEW)</f>
        <v>0.944196272206007</v>
      </c>
      <c r="AL257" s="70">
        <f ca="1" t="shared" si="36"/>
        <v>0.867491256016206</v>
      </c>
      <c r="AM257" s="70">
        <f ca="1" t="shared" si="37"/>
        <v>0.999999746849668</v>
      </c>
      <c r="AN257" s="70">
        <f ca="1">Wwp+(Wfc-Wwp)*IF((AU257+AV257)&gt;0,(TEW-(AG257*AU257+AH257*AV257)/(AU257+AV257))/TEW,(TEW-(AG257+AH257)/2)/TEW)</f>
        <v>0.392745515386781</v>
      </c>
      <c r="AO257" s="70">
        <f ca="1">Wwp+(Wfc-Wwp)*(R257-AI257)/R257</f>
        <v>0.382773863282107</v>
      </c>
      <c r="AP257" s="70">
        <f ca="1">Wwp+(Wfc-Wwp)*(S257-AJ257)/S257</f>
        <v>0.399999967090457</v>
      </c>
      <c r="AQ257" s="70"/>
      <c r="AR257" s="70"/>
      <c r="AS257" s="70"/>
      <c r="AT257" s="70"/>
      <c r="AU257" s="70">
        <f ca="1">MIN((1-G257),fw)</f>
        <v>0</v>
      </c>
      <c r="AV257" s="70">
        <f ca="1" t="shared" si="38"/>
        <v>0</v>
      </c>
      <c r="AW257" s="70">
        <f ca="1">MIN((TEW-Y257)/(TEW-REW),1)</f>
        <v>0.122881776328745</v>
      </c>
      <c r="AX257" s="70">
        <f ca="1">MIN((TEW-Z257)/(TEW-REW),1)</f>
        <v>0.122881776328745</v>
      </c>
      <c r="AY257" s="70">
        <f ca="1">IF((AU257*(TEW-Y257))&gt;0,1/(1+((AV257*(TEW-Z257))/(AU257*(TEW-Y257)))),0)</f>
        <v>0</v>
      </c>
      <c r="AZ257" s="70">
        <f ca="1">MIN((AY257*AW257*(Kcmax-H257)),AU257*Kcmax)</f>
        <v>0</v>
      </c>
      <c r="BA257" s="70">
        <f ca="1">MIN(((1-AY257)*AX257*(Kcmax-H257)),AV257*Kcmax)</f>
        <v>0</v>
      </c>
      <c r="BB257" s="70">
        <f ca="1" t="shared" si="39"/>
        <v>0</v>
      </c>
      <c r="BC257" s="70">
        <f ca="1">MIN((R257-AA257)/(R257*(1-(p+0.04*(5-I256)))),1)</f>
        <v>1</v>
      </c>
      <c r="BD257" s="10">
        <f ca="1" t="shared" si="40"/>
        <v>1.65449558499044</v>
      </c>
      <c r="BE257" s="70">
        <f ca="1">MIN(IF((1-AA257/R257)&gt;0,(1-Y257/TEW)/(1-AA257/R257)*(Ze/P257)^0.6,0),1)*BC257*H257*B257</f>
        <v>0.704299897453279</v>
      </c>
      <c r="BF257" s="70">
        <f ca="1">MIN(IF((1-AA257/R257)&gt;0,(1-Z257/TEW)/(1-AA257/R257)*(Ze/P257)^0.6,0),1)*BC257*H257*B257</f>
        <v>0.704299897453279</v>
      </c>
      <c r="BH257" s="10">
        <f ca="1" t="shared" si="41"/>
        <v>0.0247044159986645</v>
      </c>
      <c r="BI257" s="10">
        <f ca="1">IF(F257&lt;&gt;"",(Moy_Etobs-F257)^2,"")</f>
        <v>0.0124441549390456</v>
      </c>
    </row>
    <row r="258" spans="1:61">
      <c r="A258" s="38">
        <v>39251</v>
      </c>
      <c r="B258" s="10">
        <v>5.074</v>
      </c>
      <c r="C258" s="39">
        <v>0</v>
      </c>
      <c r="D258" s="10">
        <v>0.491</v>
      </c>
      <c r="E258" s="39">
        <v>0</v>
      </c>
      <c r="F258" s="10">
        <v>1.8491508</v>
      </c>
      <c r="G258" s="10">
        <f ca="1">MIN(MAX(IF(AND(Durpla&gt;ROW()-MATCH(NDVImax,INDEX(D:D,Lig_min,1):INDEX(D:D,Lig_max,1),0)-Lig_min+1,ROW()-MATCH(NDVImax,INDEX(D:D,Lig_min,1):INDEX(D:D,Lig_max,1),0)-Lig_min+1&gt;0,D258*a_fc+b_fc&gt;fc_fin),NDVImax*a_fc+b_fc,D258*a_fc+b_fc),0),1)</f>
        <v>1</v>
      </c>
      <c r="H258" s="55">
        <f>MIN(MAX(D258*a_kcb+b_kcb,0),Kcmax)</f>
        <v>0.512543238151502</v>
      </c>
      <c r="I258" s="70">
        <f ca="1" t="shared" si="33"/>
        <v>2.60064439038072</v>
      </c>
      <c r="O258" s="55"/>
      <c r="P258" s="35">
        <f ca="1">IF(ROW()-MATCH(NDVImax,INDEX(D:D,Lig_min,1):INDEX(D:D,Lig_max,1),0)-Lig_min+1&gt;0,MAX(MIN(Zr_min+MAX(INDEX(G:G,Lig_min,1):INDEX(G:G,Lig_max,1))/MAX(MAX(INDEX(G:G,Lig_min,1):INDEX(G:G,Lig_max,1)),Max_fc_pour_Zrmax)*(Zr_max-Zr_min),Zr_max),Ze+0.001),MAX(MIN(Zr_min+G258/MAX(MAX(INDEX(G:G,Lig_min,1):INDEX(G:G,Lig_max,1)),Max_fc_pour_Zrmax)*(Zr_max-Zr_min),Zr_max),Ze+0.001))</f>
        <v>595.55606968994</v>
      </c>
      <c r="Q258" s="35">
        <f ca="1">IF(Z_sol&gt;0,Z_sol-P258,0.1)</f>
        <v>18.318481374494</v>
      </c>
      <c r="R258" s="35">
        <f ca="1">(Wfc-Wwp)*P258</f>
        <v>77.4222890596922</v>
      </c>
      <c r="S258" s="35">
        <f ca="1">(Wfc-Wwp)*Q258</f>
        <v>2.38140257868422</v>
      </c>
      <c r="T258" s="99">
        <f ca="1" t="shared" si="42"/>
        <v>1.84849848317603</v>
      </c>
      <c r="U258" s="99">
        <f ca="1" t="shared" si="43"/>
        <v>1.84849848317603</v>
      </c>
      <c r="V258" s="99">
        <f ca="1">IF(P258&gt;P257,IF(Q258&gt;1,MAX(AI257+(Wfc-Wwp)*(P258-P257)*AJ257/S257,0),AI257/P257*P258),MAX(AI257+(Wfc-Wwp)*(P258-P257)*AI257/R257,0))</f>
        <v>10.2591302796501</v>
      </c>
      <c r="W258" s="99">
        <f ca="1">IF(S258&gt;1,IF(P258&gt;P257,MAX(AJ257-(Wfc-Wwp)*(P258-P257)*AJ257/S257,0),MAX(AJ257-(Wfc-Wwp)*(P258-P257)*AI257/R257,0)),0)</f>
        <v>6.0285285246524e-7</v>
      </c>
      <c r="X258" s="99">
        <f ca="1">IF(AND(OR(AND(dec_vide_TAW&lt;0,V258&gt;R258*(p+0.04*(5-I257))),AND(dec_vide_TAW&gt;0,V258&gt;R258*dec_vide_TAW)),H258&gt;MAX(INDEX(H:H,Lig_min,1):INDEX(H:H,ROW(X258),1))*Kcbmax_stop_irrig*IF(ROW(X258)-lig_kcbmax&gt;0,1,0),MIN(INDEX(H:H,ROW(X258),1):INDEX(H:H,lig_kcbmax,1))&gt;Kcbmin_start_irrig),MIN(MAX(V258-E258*Irri_man-C258,0),Lame_max),0)</f>
        <v>0</v>
      </c>
      <c r="Y258" s="99">
        <f ca="1">MIN(MAX(T258-C258-IF(fw&gt;0,X258/fw*Irri_auto+E258/fw*Irri_man,0),0),TEW)</f>
        <v>1.84849848317603</v>
      </c>
      <c r="Z258" s="99">
        <f ca="1">MIN(MAX(U258-C258,0),TEW)</f>
        <v>1.84849848317603</v>
      </c>
      <c r="AA258" s="99">
        <f ca="1">MIN(MAX(V258-C258-(X258*Irri_auto+E258*Irri_man),0),R258)</f>
        <v>10.2591302796501</v>
      </c>
      <c r="AB258" s="99">
        <f ca="1">MIN(MAX(W258+MIN(V258-C258-(X258*Irri_auto+E258*Irri_man),0),0),S258)</f>
        <v>6.0285285246524e-7</v>
      </c>
      <c r="AC258" s="99">
        <f ca="1">-MIN(W258+MIN(V258-C258-(X258*Irri_auto+E258*Irri_man),0),0)</f>
        <v>0</v>
      </c>
      <c r="AD258" s="39">
        <f ca="1">IF(((R258-AA258)/P258-((Wfc-Wwp)*Ze-Y258)/Ze)/Wfc*DiffE&lt;0,MAX(((R258-AA258)/P258-((Wfc-Wwp)*Ze-Y258)/Ze)/Wfc*DiffE,(R258*Ze-((Wfc-Wwp)*Ze-Y258-AA258)*P258)/(P258+Ze)-AA258),MIN(((R258-AA258)/P258-((Wfc-Wwp)*Ze-Y258)/Ze)/Wfc*DiffE,(R258*Ze-((Wfc-Wwp)*Ze-Y258-AA258)*P258)/(P258+Ze)-AA258))</f>
        <v>-6.09537213121243e-9</v>
      </c>
      <c r="AE258" s="39">
        <f ca="1">IF(((R258-AA258)/P258-((Wfc-Wwp)*Ze-Z258)/Ze)/Wfc*DiffE&lt;0,MAX(((R258-AA258)/P258-((Wfc-Wwp)*Ze-Z258)/Ze)/Wfc*DiffE,(R258*Ze-((Wfc-Wwp)*Ze-Z258-AA258)*P258)/(P258+Ze)-AA258),MIN(((R258-AA258)/P258-((Wfc-Wwp)*Ze-Z258)/Ze)/Wfc*DiffE,(R258*Ze-((Wfc-Wwp)*Ze-Z258-AA258)*P258)/(P258+Ze)-AA258))</f>
        <v>-6.09537213121243e-9</v>
      </c>
      <c r="AF258" s="39">
        <f ca="1">IF(((S258-AB258)/Q258-(R258-AA258)/P258)/Wfc*DiffR&lt;0,MAX(((S258-AB258)/Q258-(R258-AA258)/P258)/Wfc*DiffR,(S258*P258-(R258-AA258-AB258)*Q258)/(P258+Q258)-AB258),MIN(((S258-AB258)/Q258-(R258-AA258)/P258)/Wfc*DiffR,(S258*P258-(R258-AA258-AB258)*Q258)/(P258+Q258)-AB258))</f>
        <v>4.30652595208754e-8</v>
      </c>
      <c r="AG258" s="99">
        <f ca="1">MIN(MAX(Y258+IF(AU258&gt;0,B258*AZ258/AU258,0)+BE258-AD258,0),TEW)</f>
        <v>2.95785353093139</v>
      </c>
      <c r="AH258" s="99">
        <f ca="1">MIN(MAX(Z258+IF(AV258&gt;0,B258*BA258/AV258,0)+BF258-AE258,0),TEW)</f>
        <v>2.95785353093139</v>
      </c>
      <c r="AI258" s="99">
        <f ca="1" t="shared" si="34"/>
        <v>12.8597746269655</v>
      </c>
      <c r="AJ258" s="99">
        <f ca="1" t="shared" si="35"/>
        <v>6.45918111986115e-7</v>
      </c>
      <c r="AK258" s="70">
        <f ca="1">IF((AU258+AV258)&gt;0,(TEW-(AG258*AU258+AH258*AV258)/(AU258+AV258))/TEW,(TEW-(AG258+AH258)/2)/TEW)</f>
        <v>0.910706308500185</v>
      </c>
      <c r="AL258" s="70">
        <f ca="1" t="shared" si="36"/>
        <v>0.833900872950802</v>
      </c>
      <c r="AM258" s="70">
        <f ca="1" t="shared" si="37"/>
        <v>0.999999728765679</v>
      </c>
      <c r="AN258" s="70">
        <f ca="1">Wwp+(Wfc-Wwp)*IF((AU258+AV258)&gt;0,(TEW-(AG258*AU258+AH258*AV258)/(AU258+AV258))/TEW,(TEW-(AG258+AH258)/2)/TEW)</f>
        <v>0.388391820105024</v>
      </c>
      <c r="AO258" s="70">
        <f ca="1">Wwp+(Wfc-Wwp)*(R258-AI258)/R258</f>
        <v>0.378407113483604</v>
      </c>
      <c r="AP258" s="70">
        <f ca="1">Wwp+(Wfc-Wwp)*(S258-AJ258)/S258</f>
        <v>0.399999964739538</v>
      </c>
      <c r="AQ258" s="70"/>
      <c r="AR258" s="70"/>
      <c r="AS258" s="70"/>
      <c r="AT258" s="70"/>
      <c r="AU258" s="70">
        <f ca="1">MIN((1-G258),fw)</f>
        <v>0</v>
      </c>
      <c r="AV258" s="70">
        <f ca="1" t="shared" si="38"/>
        <v>0</v>
      </c>
      <c r="AW258" s="70">
        <f ca="1">MIN((TEW-Y258)/(TEW-REW),1)</f>
        <v>0.120175601991937</v>
      </c>
      <c r="AX258" s="70">
        <f ca="1">MIN((TEW-Z258)/(TEW-REW),1)</f>
        <v>0.120175601991937</v>
      </c>
      <c r="AY258" s="70">
        <f ca="1">IF((AU258*(TEW-Y258))&gt;0,1/(1+((AV258*(TEW-Z258))/(AU258*(TEW-Y258)))),0)</f>
        <v>0</v>
      </c>
      <c r="AZ258" s="70">
        <f ca="1">MIN((AY258*AW258*(Kcmax-H258)),AU258*Kcmax)</f>
        <v>0</v>
      </c>
      <c r="BA258" s="70">
        <f ca="1">MIN(((1-AY258)*AX258*(Kcmax-H258)),AV258*Kcmax)</f>
        <v>0</v>
      </c>
      <c r="BB258" s="70">
        <f ca="1" t="shared" si="39"/>
        <v>0</v>
      </c>
      <c r="BC258" s="70">
        <f ca="1">MIN((R258-AA258)/(R258*(1-(p+0.04*(5-I257)))),1)</f>
        <v>1</v>
      </c>
      <c r="BD258" s="10">
        <f ca="1" t="shared" si="40"/>
        <v>2.60064439038072</v>
      </c>
      <c r="BE258" s="70">
        <f ca="1">MIN(IF((1-AA258/R258)&gt;0,(1-Y258/TEW)/(1-AA258/R258)*(Ze/P258)^0.6,0),1)*BC258*H258*B258</f>
        <v>1.10935504165998</v>
      </c>
      <c r="BF258" s="70">
        <f ca="1">MIN(IF((1-AA258/R258)&gt;0,(1-Z258/TEW)/(1-AA258/R258)*(Ze/P258)^0.6,0),1)*BC258*H258*B258</f>
        <v>1.10935504165998</v>
      </c>
      <c r="BH258" s="10">
        <f ca="1" t="shared" si="41"/>
        <v>0.564742616383304</v>
      </c>
      <c r="BI258" s="10">
        <f ca="1">IF(F258&lt;&gt;"",(Moy_Etobs-F258)^2,"")</f>
        <v>0.0577336265611698</v>
      </c>
    </row>
    <row r="259" spans="1:61">
      <c r="A259" s="38">
        <v>39252</v>
      </c>
      <c r="B259" s="10">
        <v>4.851</v>
      </c>
      <c r="C259" s="39">
        <v>0</v>
      </c>
      <c r="D259" s="10">
        <v>0.475</v>
      </c>
      <c r="E259" s="39">
        <v>0</v>
      </c>
      <c r="F259" s="10">
        <v>1.622313</v>
      </c>
      <c r="G259" s="10">
        <f ca="1">MIN(MAX(IF(AND(Durpla&gt;ROW()-MATCH(NDVImax,INDEX(D:D,Lig_min,1):INDEX(D:D,Lig_max,1),0)-Lig_min+1,ROW()-MATCH(NDVImax,INDEX(D:D,Lig_min,1):INDEX(D:D,Lig_max,1),0)-Lig_min+1&gt;0,D259*a_fc+b_fc&gt;fc_fin),NDVImax*a_fc+b_fc,D259*a_fc+b_fc),0),1)</f>
        <v>1</v>
      </c>
      <c r="H259" s="55">
        <f>MIN(MAX(D259*a_kcb+b_kcb,0),Kcmax)</f>
        <v>0.488494288560815</v>
      </c>
      <c r="I259" s="70">
        <f ca="1" t="shared" si="33"/>
        <v>2.36968579380851</v>
      </c>
      <c r="O259" s="55"/>
      <c r="P259" s="35">
        <f ca="1">IF(ROW()-MATCH(NDVImax,INDEX(D:D,Lig_min,1):INDEX(D:D,Lig_max,1),0)-Lig_min+1&gt;0,MAX(MIN(Zr_min+MAX(INDEX(G:G,Lig_min,1):INDEX(G:G,Lig_max,1))/MAX(MAX(INDEX(G:G,Lig_min,1):INDEX(G:G,Lig_max,1)),Max_fc_pour_Zrmax)*(Zr_max-Zr_min),Zr_max),Ze+0.001),MAX(MIN(Zr_min+G259/MAX(MAX(INDEX(G:G,Lig_min,1):INDEX(G:G,Lig_max,1)),Max_fc_pour_Zrmax)*(Zr_max-Zr_min),Zr_max),Ze+0.001))</f>
        <v>595.55606968994</v>
      </c>
      <c r="Q259" s="35">
        <f ca="1">IF(Z_sol&gt;0,Z_sol-P259,0.1)</f>
        <v>18.318481374494</v>
      </c>
      <c r="R259" s="35">
        <f ca="1">(Wfc-Wwp)*P259</f>
        <v>77.4222890596922</v>
      </c>
      <c r="S259" s="35">
        <f ca="1">(Wfc-Wwp)*Q259</f>
        <v>2.38140257868422</v>
      </c>
      <c r="T259" s="99">
        <f ca="1" t="shared" si="42"/>
        <v>2.95785353093139</v>
      </c>
      <c r="U259" s="99">
        <f ca="1" t="shared" si="43"/>
        <v>2.95785353093139</v>
      </c>
      <c r="V259" s="99">
        <f ca="1">IF(P259&gt;P258,IF(Q259&gt;1,MAX(AI258+(Wfc-Wwp)*(P259-P258)*AJ258/S258,0),AI258/P258*P259),MAX(AI258+(Wfc-Wwp)*(P259-P258)*AI258/R258,0))</f>
        <v>12.8597746269655</v>
      </c>
      <c r="W259" s="99">
        <f ca="1">IF(S259&gt;1,IF(P259&gt;P258,MAX(AJ258-(Wfc-Wwp)*(P259-P258)*AJ258/S258,0),MAX(AJ258-(Wfc-Wwp)*(P259-P258)*AI258/R258,0)),0)</f>
        <v>6.45918111986115e-7</v>
      </c>
      <c r="X259" s="99">
        <f ca="1">IF(AND(OR(AND(dec_vide_TAW&lt;0,V259&gt;R259*(p+0.04*(5-I258))),AND(dec_vide_TAW&gt;0,V259&gt;R259*dec_vide_TAW)),H259&gt;MAX(INDEX(H:H,Lig_min,1):INDEX(H:H,ROW(X259),1))*Kcbmax_stop_irrig*IF(ROW(X259)-lig_kcbmax&gt;0,1,0),MIN(INDEX(H:H,ROW(X259),1):INDEX(H:H,lig_kcbmax,1))&gt;Kcbmin_start_irrig),MIN(MAX(V259-E259*Irri_man-C259,0),Lame_max),0)</f>
        <v>0</v>
      </c>
      <c r="Y259" s="99">
        <f ca="1">MIN(MAX(T259-C259-IF(fw&gt;0,X259/fw*Irri_auto+E259/fw*Irri_man,0),0),TEW)</f>
        <v>2.95785353093139</v>
      </c>
      <c r="Z259" s="99">
        <f ca="1">MIN(MAX(U259-C259,0),TEW)</f>
        <v>2.95785353093139</v>
      </c>
      <c r="AA259" s="99">
        <f ca="1">MIN(MAX(V259-C259-(X259*Irri_auto+E259*Irri_man),0),R259)</f>
        <v>12.8597746269655</v>
      </c>
      <c r="AB259" s="99">
        <f ca="1">MIN(MAX(W259+MIN(V259-C259-(X259*Irri_auto+E259*Irri_man),0),0),S259)</f>
        <v>6.45918111986115e-7</v>
      </c>
      <c r="AC259" s="99">
        <f ca="1">-MIN(W259+MIN(V259-C259-(X259*Irri_auto+E259*Irri_man),0),0)</f>
        <v>0</v>
      </c>
      <c r="AD259" s="39">
        <f ca="1">IF(((R259-AA259)/P259-((Wfc-Wwp)*Ze-Y259)/Ze)/Wfc*DiffE&lt;0,MAX(((R259-AA259)/P259-((Wfc-Wwp)*Ze-Y259)/Ze)/Wfc*DiffE,(R259*Ze-((Wfc-Wwp)*Ze-Y259-AA259)*P259)/(P259+Ze)-AA259),MIN(((R259-AA259)/P259-((Wfc-Wwp)*Ze-Y259)/Ze)/Wfc*DiffE,(R259*Ze-((Wfc-Wwp)*Ze-Y259-AA259)*P259)/(P259+Ze)-AA259))</f>
        <v>5.17485432763851e-9</v>
      </c>
      <c r="AE259" s="39">
        <f ca="1">IF(((R259-AA259)/P259-((Wfc-Wwp)*Ze-Z259)/Ze)/Wfc*DiffE&lt;0,MAX(((R259-AA259)/P259-((Wfc-Wwp)*Ze-Z259)/Ze)/Wfc*DiffE,(R259*Ze-((Wfc-Wwp)*Ze-Z259-AA259)*P259)/(P259+Ze)-AA259),MIN(((R259-AA259)/P259-((Wfc-Wwp)*Ze-Z259)/Ze)/Wfc*DiffE,(R259*Ze-((Wfc-Wwp)*Ze-Z259-AA259)*P259)/(P259+Ze)-AA259))</f>
        <v>5.17485432763851e-9</v>
      </c>
      <c r="AF259" s="39">
        <f ca="1">IF(((S259-AB259)/Q259-(R259-AA259)/P259)/Wfc*DiffR&lt;0,MAX(((S259-AB259)/Q259-(R259-AA259)/P259)/Wfc*DiffR,(S259*P259-(R259-AA259-AB259)*Q259)/(P259+Q259)-AB259),MIN(((S259-AB259)/Q259-(R259-AA259)/P259)/Wfc*DiffR,(S259*P259-(R259-AA259-AB259)*Q259)/(P259+Q259)-AB259))</f>
        <v>5.39821281398349e-8</v>
      </c>
      <c r="AG259" s="99">
        <f ca="1">MIN(MAX(Y259+IF(AU259&gt;0,B259*AZ259/AU259,0)+BE259-AD259,0),TEW)</f>
        <v>3.97210838290211</v>
      </c>
      <c r="AH259" s="99">
        <f ca="1">MIN(MAX(Z259+IF(AV259&gt;0,B259*BA259/AV259,0)+BF259-AE259,0),TEW)</f>
        <v>3.97210838290211</v>
      </c>
      <c r="AI259" s="99">
        <f ca="1" t="shared" si="34"/>
        <v>15.2294603667919</v>
      </c>
      <c r="AJ259" s="99">
        <f ca="1" t="shared" si="35"/>
        <v>6.9990024012595e-7</v>
      </c>
      <c r="AK259" s="70">
        <f ca="1">IF((AU259+AV259)&gt;0,(TEW-(AG259*AU259+AH259*AV259)/(AU259+AV259))/TEW,(TEW-(AG259+AH259)/2)/TEW)</f>
        <v>0.880087294101068</v>
      </c>
      <c r="AL259" s="70">
        <f ca="1" t="shared" si="36"/>
        <v>0.803293592171499</v>
      </c>
      <c r="AM259" s="70">
        <f ca="1" t="shared" si="37"/>
        <v>0.999999706097471</v>
      </c>
      <c r="AN259" s="70">
        <f ca="1">Wwp+(Wfc-Wwp)*IF((AU259+AV259)&gt;0,(TEW-(AG259*AU259+AH259*AV259)/(AU259+AV259))/TEW,(TEW-(AG259+AH259)/2)/TEW)</f>
        <v>0.384411348233139</v>
      </c>
      <c r="AO259" s="70">
        <f ca="1">Wwp+(Wfc-Wwp)*(R259-AI259)/R259</f>
        <v>0.374428166982295</v>
      </c>
      <c r="AP259" s="70">
        <f ca="1">Wwp+(Wfc-Wwp)*(S259-AJ259)/S259</f>
        <v>0.399999961792671</v>
      </c>
      <c r="AQ259" s="70"/>
      <c r="AR259" s="70"/>
      <c r="AS259" s="70"/>
      <c r="AT259" s="70"/>
      <c r="AU259" s="70">
        <f ca="1">MIN((1-G259),fw)</f>
        <v>0</v>
      </c>
      <c r="AV259" s="70">
        <f ca="1" t="shared" si="38"/>
        <v>0</v>
      </c>
      <c r="AW259" s="70">
        <f ca="1">MIN((TEW-Y259)/(TEW-REW),1)</f>
        <v>0.115913059692726</v>
      </c>
      <c r="AX259" s="70">
        <f ca="1">MIN((TEW-Z259)/(TEW-REW),1)</f>
        <v>0.115913059692726</v>
      </c>
      <c r="AY259" s="70">
        <f ca="1">IF((AU259*(TEW-Y259))&gt;0,1/(1+((AV259*(TEW-Z259))/(AU259*(TEW-Y259)))),0)</f>
        <v>0</v>
      </c>
      <c r="AZ259" s="70">
        <f ca="1">MIN((AY259*AW259*(Kcmax-H259)),AU259*Kcmax)</f>
        <v>0</v>
      </c>
      <c r="BA259" s="70">
        <f ca="1">MIN(((1-AY259)*AX259*(Kcmax-H259)),AV259*Kcmax)</f>
        <v>0</v>
      </c>
      <c r="BB259" s="70">
        <f ca="1" t="shared" si="39"/>
        <v>0</v>
      </c>
      <c r="BC259" s="70">
        <f ca="1">MIN((R259-AA259)/(R259*(1-(p+0.04*(5-I258)))),1)</f>
        <v>1</v>
      </c>
      <c r="BD259" s="10">
        <f ca="1" t="shared" si="40"/>
        <v>2.36968579380851</v>
      </c>
      <c r="BE259" s="70">
        <f ca="1">MIN(IF((1-AA259/R259)&gt;0,(1-Y259/TEW)/(1-AA259/R259)*(Ze/P259)^0.6,0),1)*BC259*H259*B259</f>
        <v>1.01425485714557</v>
      </c>
      <c r="BF259" s="70">
        <f ca="1">MIN(IF((1-AA259/R259)&gt;0,(1-Z259/TEW)/(1-AA259/R259)*(Ze/P259)^0.6,0),1)*BC259*H259*B259</f>
        <v>1.01425485714557</v>
      </c>
      <c r="BH259" s="10">
        <f ca="1" t="shared" si="41"/>
        <v>0.558566092925144</v>
      </c>
      <c r="BI259" s="10">
        <f ca="1">IF(F259&lt;&gt;"",(Moy_Etobs-F259)^2,"")</f>
        <v>0.000180645088621033</v>
      </c>
    </row>
    <row r="260" spans="1:61">
      <c r="A260" s="38">
        <v>39253</v>
      </c>
      <c r="B260" s="10">
        <v>5.409</v>
      </c>
      <c r="C260" s="39">
        <v>5.544</v>
      </c>
      <c r="D260" s="10">
        <v>0.459</v>
      </c>
      <c r="E260" s="39">
        <v>0</v>
      </c>
      <c r="F260" s="10">
        <v>2.2932738</v>
      </c>
      <c r="G260" s="10">
        <f ca="1">MIN(MAX(IF(AND(Durpla&gt;ROW()-MATCH(NDVImax,INDEX(D:D,Lig_min,1):INDEX(D:D,Lig_max,1),0)-Lig_min+1,ROW()-MATCH(NDVImax,INDEX(D:D,Lig_min,1):INDEX(D:D,Lig_max,1),0)-Lig_min+1&gt;0,D260*a_fc+b_fc&gt;fc_fin),NDVImax*a_fc+b_fc,D260*a_fc+b_fc),0),1)</f>
        <v>1</v>
      </c>
      <c r="H260" s="55">
        <f>MIN(MAX(D260*a_kcb+b_kcb,0),Kcmax)</f>
        <v>0.464445338970129</v>
      </c>
      <c r="I260" s="70">
        <f ca="1" t="shared" si="33"/>
        <v>2.51218483848943</v>
      </c>
      <c r="O260" s="55"/>
      <c r="P260" s="35">
        <f ca="1">IF(ROW()-MATCH(NDVImax,INDEX(D:D,Lig_min,1):INDEX(D:D,Lig_max,1),0)-Lig_min+1&gt;0,MAX(MIN(Zr_min+MAX(INDEX(G:G,Lig_min,1):INDEX(G:G,Lig_max,1))/MAX(MAX(INDEX(G:G,Lig_min,1):INDEX(G:G,Lig_max,1)),Max_fc_pour_Zrmax)*(Zr_max-Zr_min),Zr_max),Ze+0.001),MAX(MIN(Zr_min+G260/MAX(MAX(INDEX(G:G,Lig_min,1):INDEX(G:G,Lig_max,1)),Max_fc_pour_Zrmax)*(Zr_max-Zr_min),Zr_max),Ze+0.001))</f>
        <v>595.55606968994</v>
      </c>
      <c r="Q260" s="35">
        <f ca="1">IF(Z_sol&gt;0,Z_sol-P260,0.1)</f>
        <v>18.318481374494</v>
      </c>
      <c r="R260" s="35">
        <f ca="1">(Wfc-Wwp)*P260</f>
        <v>77.4222890596922</v>
      </c>
      <c r="S260" s="35">
        <f ca="1">(Wfc-Wwp)*Q260</f>
        <v>2.38140257868422</v>
      </c>
      <c r="T260" s="99">
        <f ca="1" t="shared" si="42"/>
        <v>3.97210838290211</v>
      </c>
      <c r="U260" s="99">
        <f ca="1" t="shared" si="43"/>
        <v>3.97210838290211</v>
      </c>
      <c r="V260" s="99">
        <f ca="1">IF(P260&gt;P259,IF(Q260&gt;1,MAX(AI259+(Wfc-Wwp)*(P260-P259)*AJ259/S259,0),AI259/P259*P260),MAX(AI259+(Wfc-Wwp)*(P260-P259)*AI259/R259,0))</f>
        <v>15.2294603667919</v>
      </c>
      <c r="W260" s="99">
        <f ca="1">IF(S260&gt;1,IF(P260&gt;P259,MAX(AJ259-(Wfc-Wwp)*(P260-P259)*AJ259/S259,0),MAX(AJ259-(Wfc-Wwp)*(P260-P259)*AI259/R259,0)),0)</f>
        <v>6.9990024012595e-7</v>
      </c>
      <c r="X260" s="99">
        <f ca="1">IF(AND(OR(AND(dec_vide_TAW&lt;0,V260&gt;R260*(p+0.04*(5-I259))),AND(dec_vide_TAW&gt;0,V260&gt;R260*dec_vide_TAW)),H260&gt;MAX(INDEX(H:H,Lig_min,1):INDEX(H:H,ROW(X260),1))*Kcbmax_stop_irrig*IF(ROW(X260)-lig_kcbmax&gt;0,1,0),MIN(INDEX(H:H,ROW(X260),1):INDEX(H:H,lig_kcbmax,1))&gt;Kcbmin_start_irrig),MIN(MAX(V260-E260*Irri_man-C260,0),Lame_max),0)</f>
        <v>0</v>
      </c>
      <c r="Y260" s="99">
        <f ca="1">MIN(MAX(T260-C260-IF(fw&gt;0,X260/fw*Irri_auto+E260/fw*Irri_man,0),0),TEW)</f>
        <v>0</v>
      </c>
      <c r="Z260" s="99">
        <f ca="1">MIN(MAX(U260-C260,0),TEW)</f>
        <v>0</v>
      </c>
      <c r="AA260" s="99">
        <f ca="1">MIN(MAX(V260-C260-(X260*Irri_auto+E260*Irri_man),0),R260)</f>
        <v>9.68546036679191</v>
      </c>
      <c r="AB260" s="99">
        <f ca="1">MIN(MAX(W260+MIN(V260-C260-(X260*Irri_auto+E260*Irri_man),0),0),S260)</f>
        <v>6.9990024012595e-7</v>
      </c>
      <c r="AC260" s="99">
        <f ca="1">-MIN(W260+MIN(V260-C260-(X260*Irri_auto+E260*Irri_man),0),0)</f>
        <v>0</v>
      </c>
      <c r="AD260" s="39">
        <f ca="1">IF(((R260-AA260)/P260-((Wfc-Wwp)*Ze-Y260)/Ze)/Wfc*DiffE&lt;0,MAX(((R260-AA260)/P260-((Wfc-Wwp)*Ze-Y260)/Ze)/Wfc*DiffE,(R260*Ze-((Wfc-Wwp)*Ze-Y260-AA260)*P260)/(P260+Ze)-AA260),MIN(((R260-AA260)/P260-((Wfc-Wwp)*Ze-Y260)/Ze)/Wfc*DiffE,(R260*Ze-((Wfc-Wwp)*Ze-Y260-AA260)*P260)/(P260+Ze)-AA260))</f>
        <v>-4.06572145752556e-8</v>
      </c>
      <c r="AE260" s="39">
        <f ca="1">IF(((R260-AA260)/P260-((Wfc-Wwp)*Ze-Z260)/Ze)/Wfc*DiffE&lt;0,MAX(((R260-AA260)/P260-((Wfc-Wwp)*Ze-Z260)/Ze)/Wfc*DiffE,(R260*Ze-((Wfc-Wwp)*Ze-Z260-AA260)*P260)/(P260+Ze)-AA260),MIN(((R260-AA260)/P260-((Wfc-Wwp)*Ze-Z260)/Ze)/Wfc*DiffE,(R260*Ze-((Wfc-Wwp)*Ze-Z260-AA260)*P260)/(P260+Ze)-AA260))</f>
        <v>-4.06572145752556e-8</v>
      </c>
      <c r="AF260" s="39">
        <f ca="1">IF(((S260-AB260)/Q260-(R260-AA260)/P260)/Wfc*DiffR&lt;0,MAX(((S260-AB260)/Q260-(R260-AA260)/P260)/Wfc*DiffR,(S260*P260-(R260-AA260-AB260)*Q260)/(P260+Q260)-AB260),MIN(((S260-AB260)/Q260-(R260-AA260)/P260)/Wfc*DiffR,(S260*P260-(R260-AA260-AB260)*Q260)/(P260+Q260)-AB260))</f>
        <v>4.06571190569338e-8</v>
      </c>
      <c r="AG260" s="99">
        <f ca="1">MIN(MAX(Y260+IF(AU260&gt;0,B260*AZ260/AU260,0)+BE260-AD260,0),TEW)</f>
        <v>1.12534365899007</v>
      </c>
      <c r="AH260" s="99">
        <f ca="1">MIN(MAX(Z260+IF(AV260&gt;0,B260*BA260/AV260,0)+BF260-AE260,0),TEW)</f>
        <v>1.12534365899007</v>
      </c>
      <c r="AI260" s="99">
        <f ca="1" t="shared" si="34"/>
        <v>12.1976451646242</v>
      </c>
      <c r="AJ260" s="99">
        <f ca="1" t="shared" si="35"/>
        <v>7.40557359182884e-7</v>
      </c>
      <c r="AK260" s="70">
        <f ca="1">IF((AU260+AV260)&gt;0,(TEW-(AG260*AU260+AH260*AV260)/(AU260+AV260))/TEW,(TEW-(AG260+AH260)/2)/TEW)</f>
        <v>0.966027361238036</v>
      </c>
      <c r="AL260" s="70">
        <f ca="1" t="shared" si="36"/>
        <v>0.842453054375338</v>
      </c>
      <c r="AM260" s="70">
        <f ca="1" t="shared" si="37"/>
        <v>0.999999689024709</v>
      </c>
      <c r="AN260" s="70">
        <f ca="1">Wwp+(Wfc-Wwp)*IF((AU260+AV260)&gt;0,(TEW-(AG260*AU260+AH260*AV260)/(AU260+AV260))/TEW,(TEW-(AG260+AH260)/2)/TEW)</f>
        <v>0.395583556960945</v>
      </c>
      <c r="AO260" s="70">
        <f ca="1">Wwp+(Wfc-Wwp)*(R260-AI260)/R260</f>
        <v>0.379518897068794</v>
      </c>
      <c r="AP260" s="70">
        <f ca="1">Wwp+(Wfc-Wwp)*(S260-AJ260)/S260</f>
        <v>0.399999959573212</v>
      </c>
      <c r="AQ260" s="70"/>
      <c r="AR260" s="70"/>
      <c r="AS260" s="70"/>
      <c r="AT260" s="70"/>
      <c r="AU260" s="70">
        <f ca="1">MIN((1-G260),fw)</f>
        <v>0</v>
      </c>
      <c r="AV260" s="70">
        <f ca="1" t="shared" si="38"/>
        <v>0</v>
      </c>
      <c r="AW260" s="70">
        <f ca="1">MIN((TEW-Y260)/(TEW-REW),1)</f>
        <v>0.12727820001996</v>
      </c>
      <c r="AX260" s="70">
        <f ca="1">MIN((TEW-Z260)/(TEW-REW),1)</f>
        <v>0.12727820001996</v>
      </c>
      <c r="AY260" s="70">
        <f ca="1">IF((AU260*(TEW-Y260))&gt;0,1/(1+((AV260*(TEW-Z260))/(AU260*(TEW-Y260)))),0)</f>
        <v>0</v>
      </c>
      <c r="AZ260" s="70">
        <f ca="1">MIN((AY260*AW260*(Kcmax-H260)),AU260*Kcmax)</f>
        <v>0</v>
      </c>
      <c r="BA260" s="70">
        <f ca="1">MIN(((1-AY260)*AX260*(Kcmax-H260)),AV260*Kcmax)</f>
        <v>0</v>
      </c>
      <c r="BB260" s="70">
        <f ca="1" t="shared" si="39"/>
        <v>0</v>
      </c>
      <c r="BC260" s="70">
        <f ca="1">MIN((R260-AA260)/(R260*(1-(p+0.04*(5-I259)))),1)</f>
        <v>1</v>
      </c>
      <c r="BD260" s="10">
        <f ca="1" t="shared" si="40"/>
        <v>2.51218483848943</v>
      </c>
      <c r="BE260" s="70">
        <f ca="1">MIN(IF((1-AA260/R260)&gt;0,(1-Y260/TEW)/(1-AA260/R260)*(Ze/P260)^0.6,0),1)*BC260*H260*B260</f>
        <v>1.12534361833286</v>
      </c>
      <c r="BF260" s="70">
        <f ca="1">MIN(IF((1-AA260/R260)&gt;0,(1-Z260/TEW)/(1-AA260/R260)*(Ze/P260)^0.6,0),1)*BC260*H260*B260</f>
        <v>1.12534361833286</v>
      </c>
      <c r="BH260" s="10">
        <f ca="1" t="shared" si="41"/>
        <v>0.0479220427725198</v>
      </c>
      <c r="BI260" s="10">
        <f ca="1">IF(F260&lt;&gt;"",(Moy_Etobs-F260)^2,"")</f>
        <v>0.468405040062877</v>
      </c>
    </row>
    <row r="261" spans="1:61">
      <c r="A261" s="38">
        <v>39254</v>
      </c>
      <c r="B261" s="10">
        <v>3.738</v>
      </c>
      <c r="C261" s="39">
        <v>6.336</v>
      </c>
      <c r="D261" s="10">
        <v>0.444</v>
      </c>
      <c r="E261" s="39">
        <v>0</v>
      </c>
      <c r="F261" s="10">
        <v>2.1320262</v>
      </c>
      <c r="G261" s="10">
        <f ca="1">MIN(MAX(IF(AND(Durpla&gt;ROW()-MATCH(NDVImax,INDEX(D:D,Lig_min,1):INDEX(D:D,Lig_max,1),0)-Lig_min+1,ROW()-MATCH(NDVImax,INDEX(D:D,Lig_min,1):INDEX(D:D,Lig_max,1),0)-Lig_min+1&gt;0,D261*a_fc+b_fc&gt;fc_fin),NDVImax*a_fc+b_fc,D261*a_fc+b_fc),0),1)</f>
        <v>1</v>
      </c>
      <c r="H261" s="55">
        <f>MIN(MAX(D261*a_kcb+b_kcb,0),Kcmax)</f>
        <v>0.441899448728861</v>
      </c>
      <c r="I261" s="70">
        <f ca="1" t="shared" si="33"/>
        <v>1.65182013934848</v>
      </c>
      <c r="O261" s="55"/>
      <c r="P261" s="35">
        <f ca="1">IF(ROW()-MATCH(NDVImax,INDEX(D:D,Lig_min,1):INDEX(D:D,Lig_max,1),0)-Lig_min+1&gt;0,MAX(MIN(Zr_min+MAX(INDEX(G:G,Lig_min,1):INDEX(G:G,Lig_max,1))/MAX(MAX(INDEX(G:G,Lig_min,1):INDEX(G:G,Lig_max,1)),Max_fc_pour_Zrmax)*(Zr_max-Zr_min),Zr_max),Ze+0.001),MAX(MIN(Zr_min+G261/MAX(MAX(INDEX(G:G,Lig_min,1):INDEX(G:G,Lig_max,1)),Max_fc_pour_Zrmax)*(Zr_max-Zr_min),Zr_max),Ze+0.001))</f>
        <v>595.55606968994</v>
      </c>
      <c r="Q261" s="35">
        <f ca="1">IF(Z_sol&gt;0,Z_sol-P261,0.1)</f>
        <v>18.318481374494</v>
      </c>
      <c r="R261" s="35">
        <f ca="1">(Wfc-Wwp)*P261</f>
        <v>77.4222890596922</v>
      </c>
      <c r="S261" s="35">
        <f ca="1">(Wfc-Wwp)*Q261</f>
        <v>2.38140257868422</v>
      </c>
      <c r="T261" s="99">
        <f ca="1" t="shared" si="42"/>
        <v>1.12534365899007</v>
      </c>
      <c r="U261" s="99">
        <f ca="1" t="shared" si="43"/>
        <v>1.12534365899007</v>
      </c>
      <c r="V261" s="99">
        <f ca="1">IF(P261&gt;P260,IF(Q261&gt;1,MAX(AI260+(Wfc-Wwp)*(P261-P260)*AJ260/S260,0),AI260/P260*P261),MAX(AI260+(Wfc-Wwp)*(P261-P260)*AI260/R260,0))</f>
        <v>12.1976451646242</v>
      </c>
      <c r="W261" s="99">
        <f ca="1">IF(S261&gt;1,IF(P261&gt;P260,MAX(AJ260-(Wfc-Wwp)*(P261-P260)*AJ260/S260,0),MAX(AJ260-(Wfc-Wwp)*(P261-P260)*AI260/R260,0)),0)</f>
        <v>7.40557359182884e-7</v>
      </c>
      <c r="X261" s="99">
        <f ca="1">IF(AND(OR(AND(dec_vide_TAW&lt;0,V261&gt;R261*(p+0.04*(5-I260))),AND(dec_vide_TAW&gt;0,V261&gt;R261*dec_vide_TAW)),H261&gt;MAX(INDEX(H:H,Lig_min,1):INDEX(H:H,ROW(X261),1))*Kcbmax_stop_irrig*IF(ROW(X261)-lig_kcbmax&gt;0,1,0),MIN(INDEX(H:H,ROW(X261),1):INDEX(H:H,lig_kcbmax,1))&gt;Kcbmin_start_irrig),MIN(MAX(V261-E261*Irri_man-C261,0),Lame_max),0)</f>
        <v>0</v>
      </c>
      <c r="Y261" s="99">
        <f ca="1">MIN(MAX(T261-C261-IF(fw&gt;0,X261/fw*Irri_auto+E261/fw*Irri_man,0),0),TEW)</f>
        <v>0</v>
      </c>
      <c r="Z261" s="99">
        <f ca="1">MIN(MAX(U261-C261,0),TEW)</f>
        <v>0</v>
      </c>
      <c r="AA261" s="99">
        <f ca="1">MIN(MAX(V261-C261-(X261*Irri_auto+E261*Irri_man),0),R261)</f>
        <v>5.86164516462422</v>
      </c>
      <c r="AB261" s="99">
        <f ca="1">MIN(MAX(W261+MIN(V261-C261-(X261*Irri_auto+E261*Irri_man),0),0),S261)</f>
        <v>7.40557359182884e-7</v>
      </c>
      <c r="AC261" s="99">
        <f ca="1">-MIN(W261+MIN(V261-C261-(X261*Irri_auto+E261*Irri_man),0),0)</f>
        <v>0</v>
      </c>
      <c r="AD261" s="39">
        <f ca="1">IF(((R261-AA261)/P261-((Wfc-Wwp)*Ze-Y261)/Ze)/Wfc*DiffE&lt;0,MAX(((R261-AA261)/P261-((Wfc-Wwp)*Ze-Y261)/Ze)/Wfc*DiffE,(R261*Ze-((Wfc-Wwp)*Ze-Y261-AA261)*P261)/(P261+Ze)-AA261),MIN(((R261-AA261)/P261-((Wfc-Wwp)*Ze-Y261)/Ze)/Wfc*DiffE,(R261*Ze-((Wfc-Wwp)*Ze-Y261-AA261)*P261)/(P261+Ze)-AA261))</f>
        <v>-2.46057653634356e-8</v>
      </c>
      <c r="AE261" s="39">
        <f ca="1">IF(((R261-AA261)/P261-((Wfc-Wwp)*Ze-Z261)/Ze)/Wfc*DiffE&lt;0,MAX(((R261-AA261)/P261-((Wfc-Wwp)*Ze-Z261)/Ze)/Wfc*DiffE,(R261*Ze-((Wfc-Wwp)*Ze-Z261-AA261)*P261)/(P261+Ze)-AA261),MIN(((R261-AA261)/P261-((Wfc-Wwp)*Ze-Z261)/Ze)/Wfc*DiffE,(R261*Ze-((Wfc-Wwp)*Ze-Z261-AA261)*P261)/(P261+Ze)-AA261))</f>
        <v>-2.46057653634356e-8</v>
      </c>
      <c r="AF261" s="39">
        <f ca="1">IF(((S261-AB261)/Q261-(R261-AA261)/P261)/Wfc*DiffR&lt;0,MAX(((S261-AB261)/Q261-(R261-AA261)/P261)/Wfc*DiffR,(S261*P261-(R261-AA261-AB261)*Q261)/(P261+Q261)-AB261),MIN(((S261-AB261)/Q261-(R261-AA261)/P261)/Wfc*DiffR,(S261*P261-(R261-AA261-AB261)*Q261)/(P261+Q261)-AB261))</f>
        <v>2.46056642964661e-8</v>
      </c>
      <c r="AG261" s="99">
        <f ca="1">MIN(MAX(Y261+IF(AU261&gt;0,B261*AZ261/AU261,0)+BE261-AD261,0),TEW)</f>
        <v>0.700401317924367</v>
      </c>
      <c r="AH261" s="99">
        <f ca="1">MIN(MAX(Z261+IF(AV261&gt;0,B261*BA261/AV261,0)+BF261-AE261,0),TEW)</f>
        <v>0.700401317924367</v>
      </c>
      <c r="AI261" s="99">
        <f ca="1" t="shared" si="34"/>
        <v>7.51346527936704</v>
      </c>
      <c r="AJ261" s="99">
        <f ca="1" t="shared" si="35"/>
        <v>7.6516302347935e-7</v>
      </c>
      <c r="AK261" s="70">
        <f ca="1">IF((AU261+AV261)&gt;0,(TEW-(AG261*AU261+AH261*AV261)/(AU261+AV261))/TEW,(TEW-(AG261+AH261)/2)/TEW)</f>
        <v>0.978855809270208</v>
      </c>
      <c r="AL261" s="70">
        <f ca="1" t="shared" si="36"/>
        <v>0.902954751524148</v>
      </c>
      <c r="AM261" s="70">
        <f ca="1" t="shared" si="37"/>
        <v>0.999999678692284</v>
      </c>
      <c r="AN261" s="70">
        <f ca="1">Wwp+(Wfc-Wwp)*IF((AU261+AV261)&gt;0,(TEW-(AG261*AU261+AH261*AV261)/(AU261+AV261))/TEW,(TEW-(AG261+AH261)/2)/TEW)</f>
        <v>0.397251255205127</v>
      </c>
      <c r="AO261" s="70">
        <f ca="1">Wwp+(Wfc-Wwp)*(R261-AI261)/R261</f>
        <v>0.387384117698139</v>
      </c>
      <c r="AP261" s="70">
        <f ca="1">Wwp+(Wfc-Wwp)*(S261-AJ261)/S261</f>
        <v>0.399999958229997</v>
      </c>
      <c r="AQ261" s="70"/>
      <c r="AR261" s="70"/>
      <c r="AS261" s="70"/>
      <c r="AT261" s="70"/>
      <c r="AU261" s="70">
        <f ca="1">MIN((1-G261),fw)</f>
        <v>0</v>
      </c>
      <c r="AV261" s="70">
        <f ca="1" t="shared" si="38"/>
        <v>0</v>
      </c>
      <c r="AW261" s="70">
        <f ca="1">MIN((TEW-Y261)/(TEW-REW),1)</f>
        <v>0.12727820001996</v>
      </c>
      <c r="AX261" s="70">
        <f ca="1">MIN((TEW-Z261)/(TEW-REW),1)</f>
        <v>0.12727820001996</v>
      </c>
      <c r="AY261" s="70">
        <f ca="1">IF((AU261*(TEW-Y261))&gt;0,1/(1+((AV261*(TEW-Z261))/(AU261*(TEW-Y261)))),0)</f>
        <v>0</v>
      </c>
      <c r="AZ261" s="70">
        <f ca="1">MIN((AY261*AW261*(Kcmax-H261)),AU261*Kcmax)</f>
        <v>0</v>
      </c>
      <c r="BA261" s="70">
        <f ca="1">MIN(((1-AY261)*AX261*(Kcmax-H261)),AV261*Kcmax)</f>
        <v>0</v>
      </c>
      <c r="BB261" s="70">
        <f ca="1" t="shared" si="39"/>
        <v>0</v>
      </c>
      <c r="BC261" s="70">
        <f ca="1">MIN((R261-AA261)/(R261*(1-(p+0.04*(5-I260)))),1)</f>
        <v>1</v>
      </c>
      <c r="BD261" s="10">
        <f ca="1" t="shared" si="40"/>
        <v>1.65182013934848</v>
      </c>
      <c r="BE261" s="70">
        <f ca="1">MIN(IF((1-AA261/R261)&gt;0,(1-Y261/TEW)/(1-AA261/R261)*(Ze/P261)^0.6,0),1)*BC261*H261*B261</f>
        <v>0.700401293318601</v>
      </c>
      <c r="BF261" s="70">
        <f ca="1">MIN(IF((1-AA261/R261)&gt;0,(1-Z261/TEW)/(1-AA261/R261)*(Ze/P261)^0.6,0),1)*BC261*H261*B261</f>
        <v>0.700401293318601</v>
      </c>
      <c r="BH261" s="10">
        <f ca="1" t="shared" si="41"/>
        <v>0.23059786068645</v>
      </c>
      <c r="BI261" s="10">
        <f ca="1">IF(F261&lt;&gt;"",(Moy_Etobs-F261)^2,"")</f>
        <v>0.273689717858912</v>
      </c>
    </row>
    <row r="262" spans="1:61">
      <c r="A262" s="38">
        <v>39255</v>
      </c>
      <c r="B262" s="10">
        <v>3.932</v>
      </c>
      <c r="C262" s="39">
        <v>0</v>
      </c>
      <c r="D262" s="10">
        <v>0.428</v>
      </c>
      <c r="E262" s="39">
        <v>0</v>
      </c>
      <c r="F262" s="10">
        <v>1.78776</v>
      </c>
      <c r="G262" s="10">
        <f ca="1">MIN(MAX(IF(AND(Durpla&gt;ROW()-MATCH(NDVImax,INDEX(D:D,Lig_min,1):INDEX(D:D,Lig_max,1),0)-Lig_min+1,ROW()-MATCH(NDVImax,INDEX(D:D,Lig_min,1):INDEX(D:D,Lig_max,1),0)-Lig_min+1&gt;0,D262*a_fc+b_fc&gt;fc_fin),NDVImax*a_fc+b_fc,D262*a_fc+b_fc),0),1)</f>
        <v>1</v>
      </c>
      <c r="H262" s="55">
        <f>MIN(MAX(D262*a_kcb+b_kcb,0),Kcmax)</f>
        <v>0.417850499138174</v>
      </c>
      <c r="I262" s="70">
        <f ca="1" t="shared" si="33"/>
        <v>1.6429881626113</v>
      </c>
      <c r="O262" s="55"/>
      <c r="P262" s="35">
        <f ca="1">IF(ROW()-MATCH(NDVImax,INDEX(D:D,Lig_min,1):INDEX(D:D,Lig_max,1),0)-Lig_min+1&gt;0,MAX(MIN(Zr_min+MAX(INDEX(G:G,Lig_min,1):INDEX(G:G,Lig_max,1))/MAX(MAX(INDEX(G:G,Lig_min,1):INDEX(G:G,Lig_max,1)),Max_fc_pour_Zrmax)*(Zr_max-Zr_min),Zr_max),Ze+0.001),MAX(MIN(Zr_min+G262/MAX(MAX(INDEX(G:G,Lig_min,1):INDEX(G:G,Lig_max,1)),Max_fc_pour_Zrmax)*(Zr_max-Zr_min),Zr_max),Ze+0.001))</f>
        <v>595.55606968994</v>
      </c>
      <c r="Q262" s="35">
        <f ca="1">IF(Z_sol&gt;0,Z_sol-P262,0.1)</f>
        <v>18.318481374494</v>
      </c>
      <c r="R262" s="35">
        <f ca="1">(Wfc-Wwp)*P262</f>
        <v>77.4222890596922</v>
      </c>
      <c r="S262" s="35">
        <f ca="1">(Wfc-Wwp)*Q262</f>
        <v>2.38140257868422</v>
      </c>
      <c r="T262" s="99">
        <f ca="1" t="shared" si="42"/>
        <v>0.700401317924367</v>
      </c>
      <c r="U262" s="99">
        <f ca="1" t="shared" si="43"/>
        <v>0.700401317924367</v>
      </c>
      <c r="V262" s="99">
        <f ca="1">IF(P262&gt;P261,IF(Q262&gt;1,MAX(AI261+(Wfc-Wwp)*(P262-P261)*AJ261/S261,0),AI261/P261*P262),MAX(AI261+(Wfc-Wwp)*(P262-P261)*AI261/R261,0))</f>
        <v>7.51346527936704</v>
      </c>
      <c r="W262" s="99">
        <f ca="1">IF(S262&gt;1,IF(P262&gt;P261,MAX(AJ261-(Wfc-Wwp)*(P262-P261)*AJ261/S261,0),MAX(AJ261-(Wfc-Wwp)*(P262-P261)*AI261/R261,0)),0)</f>
        <v>7.6516302347935e-7</v>
      </c>
      <c r="X262" s="99">
        <f ca="1">IF(AND(OR(AND(dec_vide_TAW&lt;0,V262&gt;R262*(p+0.04*(5-I261))),AND(dec_vide_TAW&gt;0,V262&gt;R262*dec_vide_TAW)),H262&gt;MAX(INDEX(H:H,Lig_min,1):INDEX(H:H,ROW(X262),1))*Kcbmax_stop_irrig*IF(ROW(X262)-lig_kcbmax&gt;0,1,0),MIN(INDEX(H:H,ROW(X262),1):INDEX(H:H,lig_kcbmax,1))&gt;Kcbmin_start_irrig),MIN(MAX(V262-E262*Irri_man-C262,0),Lame_max),0)</f>
        <v>0</v>
      </c>
      <c r="Y262" s="99">
        <f ca="1">MIN(MAX(T262-C262-IF(fw&gt;0,X262/fw*Irri_auto+E262/fw*Irri_man,0),0),TEW)</f>
        <v>0.700401317924367</v>
      </c>
      <c r="Z262" s="99">
        <f ca="1">MIN(MAX(U262-C262,0),TEW)</f>
        <v>0.700401317924367</v>
      </c>
      <c r="AA262" s="99">
        <f ca="1">MIN(MAX(V262-C262-(X262*Irri_auto+E262*Irri_man),0),R262)</f>
        <v>7.51346527936704</v>
      </c>
      <c r="AB262" s="99">
        <f ca="1">MIN(MAX(W262+MIN(V262-C262-(X262*Irri_auto+E262*Irri_man),0),0),S262)</f>
        <v>7.6516302347935e-7</v>
      </c>
      <c r="AC262" s="99">
        <f ca="1">-MIN(W262+MIN(V262-C262-(X262*Irri_auto+E262*Irri_man),0),0)</f>
        <v>0</v>
      </c>
      <c r="AD262" s="39">
        <f ca="1">IF(((R262-AA262)/P262-((Wfc-Wwp)*Ze-Y262)/Ze)/Wfc*DiffE&lt;0,MAX(((R262-AA262)/P262-((Wfc-Wwp)*Ze-Y262)/Ze)/Wfc*DiffE,(R262*Ze-((Wfc-Wwp)*Ze-Y262-AA262)*P262)/(P262+Ze)-AA262),MIN(((R262-AA262)/P262-((Wfc-Wwp)*Ze-Y262)/Ze)/Wfc*DiffE,(R262*Ze-((Wfc-Wwp)*Ze-Y262-AA262)*P262)/(P262+Ze)-AA262))</f>
        <v>-1.75316793961645e-8</v>
      </c>
      <c r="AE262" s="39">
        <f ca="1">IF(((R262-AA262)/P262-((Wfc-Wwp)*Ze-Z262)/Ze)/Wfc*DiffE&lt;0,MAX(((R262-AA262)/P262-((Wfc-Wwp)*Ze-Z262)/Ze)/Wfc*DiffE,(R262*Ze-((Wfc-Wwp)*Ze-Z262-AA262)*P262)/(P262+Ze)-AA262),MIN(((R262-AA262)/P262-((Wfc-Wwp)*Ze-Z262)/Ze)/Wfc*DiffE,(R262*Ze-((Wfc-Wwp)*Ze-Z262-AA262)*P262)/(P262+Ze)-AA262))</f>
        <v>-1.75316793961645e-8</v>
      </c>
      <c r="AF262" s="39">
        <f ca="1">IF(((S262-AB262)/Q262-(R262-AA262)/P262)/Wfc*DiffR&lt;0,MAX(((S262-AB262)/Q262-(R262-AA262)/P262)/Wfc*DiffR,(S262*P262-(R262-AA262-AB262)*Q262)/(P262+Q262)-AB262),MIN(((S262-AB262)/Q262-(R262-AA262)/P262)/Wfc*DiffR,(S262*P262-(R262-AA262-AB262)*Q262)/(P262+Q262)-AB262))</f>
        <v>3.15396013296441e-8</v>
      </c>
      <c r="AG262" s="99">
        <f ca="1">MIN(MAX(Y262+IF(AU262&gt;0,B262*AZ262/AU262,0)+BE262-AD262,0),TEW)</f>
        <v>1.39844016890787</v>
      </c>
      <c r="AH262" s="99">
        <f ca="1">MIN(MAX(Z262+IF(AV262&gt;0,B262*BA262/AV262,0)+BF262-AE262,0),TEW)</f>
        <v>1.39844016890787</v>
      </c>
      <c r="AI262" s="99">
        <f ca="1" t="shared" si="34"/>
        <v>9.15645341043874</v>
      </c>
      <c r="AJ262" s="99">
        <f ca="1" t="shared" si="35"/>
        <v>7.96702624808994e-7</v>
      </c>
      <c r="AK262" s="70">
        <f ca="1">IF((AU262+AV262)&gt;0,(TEW-(AG262*AU262+AH262*AV262)/(AU262+AV262))/TEW,(TEW-(AG262+AH262)/2)/TEW)</f>
        <v>0.957782938297121</v>
      </c>
      <c r="AL262" s="70">
        <f ca="1" t="shared" si="36"/>
        <v>0.881733625785991</v>
      </c>
      <c r="AM262" s="70">
        <f ca="1" t="shared" si="37"/>
        <v>0.999999665448156</v>
      </c>
      <c r="AN262" s="70">
        <f ca="1">Wwp+(Wfc-Wwp)*IF((AU262+AV262)&gt;0,(TEW-(AG262*AU262+AH262*AV262)/(AU262+AV262))/TEW,(TEW-(AG262+AH262)/2)/TEW)</f>
        <v>0.394511781978626</v>
      </c>
      <c r="AO262" s="70">
        <f ca="1">Wwp+(Wfc-Wwp)*(R262-AI262)/R262</f>
        <v>0.384625371352179</v>
      </c>
      <c r="AP262" s="70">
        <f ca="1">Wwp+(Wfc-Wwp)*(S262-AJ262)/S262</f>
        <v>0.39999995650826</v>
      </c>
      <c r="AQ262" s="70"/>
      <c r="AR262" s="70"/>
      <c r="AS262" s="70"/>
      <c r="AT262" s="70"/>
      <c r="AU262" s="70">
        <f ca="1">MIN((1-G262),fw)</f>
        <v>0</v>
      </c>
      <c r="AV262" s="70">
        <f ca="1" t="shared" si="38"/>
        <v>0</v>
      </c>
      <c r="AW262" s="70">
        <f ca="1">MIN((TEW-Y262)/(TEW-REW),1)</f>
        <v>0.124587005482994</v>
      </c>
      <c r="AX262" s="70">
        <f ca="1">MIN((TEW-Z262)/(TEW-REW),1)</f>
        <v>0.124587005482994</v>
      </c>
      <c r="AY262" s="70">
        <f ca="1">IF((AU262*(TEW-Y262))&gt;0,1/(1+((AV262*(TEW-Z262))/(AU262*(TEW-Y262)))),0)</f>
        <v>0</v>
      </c>
      <c r="AZ262" s="70">
        <f ca="1">MIN((AY262*AW262*(Kcmax-H262)),AU262*Kcmax)</f>
        <v>0</v>
      </c>
      <c r="BA262" s="70">
        <f ca="1">MIN(((1-AY262)*AX262*(Kcmax-H262)),AV262*Kcmax)</f>
        <v>0</v>
      </c>
      <c r="BB262" s="70">
        <f ca="1" t="shared" si="39"/>
        <v>0</v>
      </c>
      <c r="BC262" s="70">
        <f ca="1">MIN((R262-AA262)/(R262*(1-(p+0.04*(5-I261)))),1)</f>
        <v>1</v>
      </c>
      <c r="BD262" s="10">
        <f ca="1" t="shared" si="40"/>
        <v>1.6429881626113</v>
      </c>
      <c r="BE262" s="70">
        <f ca="1">MIN(IF((1-AA262/R262)&gt;0,(1-Y262/TEW)/(1-AA262/R262)*(Ze/P262)^0.6,0),1)*BC262*H262*B262</f>
        <v>0.698038833451829</v>
      </c>
      <c r="BF262" s="70">
        <f ca="1">MIN(IF((1-AA262/R262)&gt;0,(1-Z262/TEW)/(1-AA262/R262)*(Ze/P262)^0.6,0),1)*BC262*H262*B262</f>
        <v>0.698038833451829</v>
      </c>
      <c r="BH262" s="10">
        <f ca="1" t="shared" si="41"/>
        <v>0.0209588849008999</v>
      </c>
      <c r="BI262" s="10">
        <f ca="1">IF(F262&lt;&gt;"",(Moy_Etobs-F262)^2,"")</f>
        <v>0.0320007116808102</v>
      </c>
    </row>
    <row r="263" spans="1:61">
      <c r="A263" s="38">
        <v>39256</v>
      </c>
      <c r="B263" s="10">
        <v>3.46</v>
      </c>
      <c r="C263" s="39">
        <v>0</v>
      </c>
      <c r="D263" s="10">
        <v>0.413</v>
      </c>
      <c r="E263" s="39">
        <v>0</v>
      </c>
      <c r="F263" s="10">
        <v>1.3417866</v>
      </c>
      <c r="G263" s="10">
        <f ca="1">MIN(MAX(IF(AND(Durpla&gt;ROW()-MATCH(NDVImax,INDEX(D:D,Lig_min,1):INDEX(D:D,Lig_max,1),0)-Lig_min+1,ROW()-MATCH(NDVImax,INDEX(D:D,Lig_min,1):INDEX(D:D,Lig_max,1),0)-Lig_min+1&gt;0,D263*a_fc+b_fc&gt;fc_fin),NDVImax*a_fc+b_fc,D263*a_fc+b_fc),0),1)</f>
        <v>1</v>
      </c>
      <c r="H263" s="55">
        <f>MIN(MAX(D263*a_kcb+b_kcb,0),Kcmax)</f>
        <v>0.395304608896906</v>
      </c>
      <c r="I263" s="70">
        <f ca="1" t="shared" si="33"/>
        <v>1.36775394678329</v>
      </c>
      <c r="O263" s="55"/>
      <c r="P263" s="35">
        <f ca="1">IF(ROW()-MATCH(NDVImax,INDEX(D:D,Lig_min,1):INDEX(D:D,Lig_max,1),0)-Lig_min+1&gt;0,MAX(MIN(Zr_min+MAX(INDEX(G:G,Lig_min,1):INDEX(G:G,Lig_max,1))/MAX(MAX(INDEX(G:G,Lig_min,1):INDEX(G:G,Lig_max,1)),Max_fc_pour_Zrmax)*(Zr_max-Zr_min),Zr_max),Ze+0.001),MAX(MIN(Zr_min+G263/MAX(MAX(INDEX(G:G,Lig_min,1):INDEX(G:G,Lig_max,1)),Max_fc_pour_Zrmax)*(Zr_max-Zr_min),Zr_max),Ze+0.001))</f>
        <v>595.55606968994</v>
      </c>
      <c r="Q263" s="35">
        <f ca="1">IF(Z_sol&gt;0,Z_sol-P263,0.1)</f>
        <v>18.318481374494</v>
      </c>
      <c r="R263" s="35">
        <f ca="1">(Wfc-Wwp)*P263</f>
        <v>77.4222890596922</v>
      </c>
      <c r="S263" s="35">
        <f ca="1">(Wfc-Wwp)*Q263</f>
        <v>2.38140257868422</v>
      </c>
      <c r="T263" s="99">
        <f ca="1" t="shared" si="42"/>
        <v>1.39844016890787</v>
      </c>
      <c r="U263" s="99">
        <f ca="1" t="shared" si="43"/>
        <v>1.39844016890787</v>
      </c>
      <c r="V263" s="99">
        <f ca="1">IF(P263&gt;P262,IF(Q263&gt;1,MAX(AI262+(Wfc-Wwp)*(P263-P262)*AJ262/S262,0),AI262/P262*P263),MAX(AI262+(Wfc-Wwp)*(P263-P262)*AI262/R262,0))</f>
        <v>9.15645341043874</v>
      </c>
      <c r="W263" s="99">
        <f ca="1">IF(S263&gt;1,IF(P263&gt;P262,MAX(AJ262-(Wfc-Wwp)*(P263-P262)*AJ262/S262,0),MAX(AJ262-(Wfc-Wwp)*(P263-P262)*AI262/R262,0)),0)</f>
        <v>7.96702624808994e-7</v>
      </c>
      <c r="X263" s="99">
        <f ca="1">IF(AND(OR(AND(dec_vide_TAW&lt;0,V263&gt;R263*(p+0.04*(5-I262))),AND(dec_vide_TAW&gt;0,V263&gt;R263*dec_vide_TAW)),H263&gt;MAX(INDEX(H:H,Lig_min,1):INDEX(H:H,ROW(X263),1))*Kcbmax_stop_irrig*IF(ROW(X263)-lig_kcbmax&gt;0,1,0),MIN(INDEX(H:H,ROW(X263),1):INDEX(H:H,lig_kcbmax,1))&gt;Kcbmin_start_irrig),MIN(MAX(V263-E263*Irri_man-C263,0),Lame_max),0)</f>
        <v>0</v>
      </c>
      <c r="Y263" s="99">
        <f ca="1">MIN(MAX(T263-C263-IF(fw&gt;0,X263/fw*Irri_auto+E263/fw*Irri_man,0),0),TEW)</f>
        <v>1.39844016890787</v>
      </c>
      <c r="Z263" s="99">
        <f ca="1">MIN(MAX(U263-C263,0),TEW)</f>
        <v>1.39844016890787</v>
      </c>
      <c r="AA263" s="99">
        <f ca="1">MIN(MAX(V263-C263-(X263*Irri_auto+E263*Irri_man),0),R263)</f>
        <v>9.15645341043874</v>
      </c>
      <c r="AB263" s="99">
        <f ca="1">MIN(MAX(W263+MIN(V263-C263-(X263*Irri_auto+E263*Irri_man),0),0),S263)</f>
        <v>7.96702624808994e-7</v>
      </c>
      <c r="AC263" s="99">
        <f ca="1">-MIN(W263+MIN(V263-C263-(X263*Irri_auto+E263*Irri_man),0),0)</f>
        <v>0</v>
      </c>
      <c r="AD263" s="39">
        <f ca="1">IF(((R263-AA263)/P263-((Wfc-Wwp)*Ze-Y263)/Ze)/Wfc*DiffE&lt;0,MAX(((R263-AA263)/P263-((Wfc-Wwp)*Ze-Y263)/Ze)/Wfc*DiffE,(R263*Ze-((Wfc-Wwp)*Ze-Y263-AA263)*P263)/(P263+Ze)-AA263),MIN(((R263-AA263)/P263-((Wfc-Wwp)*Ze-Y263)/Ze)/Wfc*DiffE,(R263*Ze-((Wfc-Wwp)*Ze-Y263-AA263)*P263)/(P263+Ze)-AA263))</f>
        <v>-1.04677682413955e-8</v>
      </c>
      <c r="AE263" s="39">
        <f ca="1">IF(((R263-AA263)/P263-((Wfc-Wwp)*Ze-Z263)/Ze)/Wfc*DiffE&lt;0,MAX(((R263-AA263)/P263-((Wfc-Wwp)*Ze-Z263)/Ze)/Wfc*DiffE,(R263*Ze-((Wfc-Wwp)*Ze-Z263-AA263)*P263)/(P263+Ze)-AA263),MIN(((R263-AA263)/P263-((Wfc-Wwp)*Ze-Z263)/Ze)/Wfc*DiffE,(R263*Ze-((Wfc-Wwp)*Ze-Z263-AA263)*P263)/(P263+Ze)-AA263))</f>
        <v>-1.04677682413955e-8</v>
      </c>
      <c r="AF263" s="39">
        <f ca="1">IF(((S263-AB263)/Q263-(R263-AA263)/P263)/Wfc*DiffR&lt;0,MAX(((S263-AB263)/Q263-(R263-AA263)/P263)/Wfc*DiffR,(S263*P263-(R263-AA263-AB263)*Q263)/(P263+Q263)-AB263),MIN(((S263-AB263)/Q263-(R263-AA263)/P263)/Wfc*DiffR,(S263*P263-(R263-AA263-AB263)*Q263)/(P263+Q263)-AB263))</f>
        <v>3.84364628902036e-8</v>
      </c>
      <c r="AG263" s="99">
        <f ca="1">MIN(MAX(Y263+IF(AU263&gt;0,B263*AZ263/AU263,0)+BE263-AD263,0),TEW)</f>
        <v>1.98071778081089</v>
      </c>
      <c r="AH263" s="99">
        <f ca="1">MIN(MAX(Z263+IF(AV263&gt;0,B263*BA263/AV263,0)+BF263-AE263,0),TEW)</f>
        <v>1.98071778081089</v>
      </c>
      <c r="AI263" s="99">
        <f ca="1" t="shared" si="34"/>
        <v>10.5242073187856</v>
      </c>
      <c r="AJ263" s="99">
        <f ca="1" t="shared" si="35"/>
        <v>8.35139087699198e-7</v>
      </c>
      <c r="AK263" s="70">
        <f ca="1">IF((AU263+AV263)&gt;0,(TEW-(AG263*AU263+AH263*AV263)/(AU263+AV263))/TEW,(TEW-(AG263+AH263)/2)/TEW)</f>
        <v>0.940204746239671</v>
      </c>
      <c r="AL263" s="70">
        <f ca="1" t="shared" si="36"/>
        <v>0.864067474023256</v>
      </c>
      <c r="AM263" s="70">
        <f ca="1" t="shared" si="37"/>
        <v>0.999999649307893</v>
      </c>
      <c r="AN263" s="70">
        <f ca="1">Wwp+(Wfc-Wwp)*IF((AU263+AV263)&gt;0,(TEW-(AG263*AU263+AH263*AV263)/(AU263+AV263))/TEW,(TEW-(AG263+AH263)/2)/TEW)</f>
        <v>0.392226617011157</v>
      </c>
      <c r="AO263" s="70">
        <f ca="1">Wwp+(Wfc-Wwp)*(R263-AI263)/R263</f>
        <v>0.382328771623023</v>
      </c>
      <c r="AP263" s="70">
        <f ca="1">Wwp+(Wfc-Wwp)*(S263-AJ263)/S263</f>
        <v>0.399999954410026</v>
      </c>
      <c r="AQ263" s="70"/>
      <c r="AR263" s="70"/>
      <c r="AS263" s="70"/>
      <c r="AT263" s="70"/>
      <c r="AU263" s="70">
        <f ca="1">MIN((1-G263),fw)</f>
        <v>0</v>
      </c>
      <c r="AV263" s="70">
        <f ca="1" t="shared" si="38"/>
        <v>0</v>
      </c>
      <c r="AW263" s="70">
        <f ca="1">MIN((TEW-Y263)/(TEW-REW),1)</f>
        <v>0.121904888396286</v>
      </c>
      <c r="AX263" s="70">
        <f ca="1">MIN((TEW-Z263)/(TEW-REW),1)</f>
        <v>0.121904888396286</v>
      </c>
      <c r="AY263" s="70">
        <f ca="1">IF((AU263*(TEW-Y263))&gt;0,1/(1+((AV263*(TEW-Z263))/(AU263*(TEW-Y263)))),0)</f>
        <v>0</v>
      </c>
      <c r="AZ263" s="70">
        <f ca="1">MIN((AY263*AW263*(Kcmax-H263)),AU263*Kcmax)</f>
        <v>0</v>
      </c>
      <c r="BA263" s="70">
        <f ca="1">MIN(((1-AY263)*AX263*(Kcmax-H263)),AV263*Kcmax)</f>
        <v>0</v>
      </c>
      <c r="BB263" s="70">
        <f ca="1" t="shared" si="39"/>
        <v>0</v>
      </c>
      <c r="BC263" s="70">
        <f ca="1">MIN((R263-AA263)/(R263*(1-(p+0.04*(5-I262)))),1)</f>
        <v>1</v>
      </c>
      <c r="BD263" s="10">
        <f ca="1" t="shared" si="40"/>
        <v>1.36775394678329</v>
      </c>
      <c r="BE263" s="70">
        <f ca="1">MIN(IF((1-AA263/R263)&gt;0,(1-Y263/TEW)/(1-AA263/R263)*(Ze/P263)^0.6,0),1)*BC263*H263*B263</f>
        <v>0.58227760143525</v>
      </c>
      <c r="BF263" s="70">
        <f ca="1">MIN(IF((1-AA263/R263)&gt;0,(1-Z263/TEW)/(1-AA263/R263)*(Ze/P263)^0.6,0),1)*BC263*H263*B263</f>
        <v>0.58227760143525</v>
      </c>
      <c r="BH263" s="10">
        <f ca="1" t="shared" si="41"/>
        <v>0.000674303098963869</v>
      </c>
      <c r="BI263" s="10">
        <f ca="1">IF(F263&lt;&gt;"",(Moy_Etobs-F263)^2,"")</f>
        <v>0.0713349167611512</v>
      </c>
    </row>
    <row r="264" spans="1:61">
      <c r="A264" s="38">
        <v>39257</v>
      </c>
      <c r="B264" s="10">
        <v>4.582</v>
      </c>
      <c r="C264" s="39">
        <v>0.198</v>
      </c>
      <c r="D264" s="10">
        <v>0.397</v>
      </c>
      <c r="E264" s="39">
        <v>0</v>
      </c>
      <c r="F264" s="10">
        <v>1.256661</v>
      </c>
      <c r="G264" s="10">
        <f ca="1">MIN(MAX(IF(AND(Durpla&gt;ROW()-MATCH(NDVImax,INDEX(D:D,Lig_min,1):INDEX(D:D,Lig_max,1),0)-Lig_min+1,ROW()-MATCH(NDVImax,INDEX(D:D,Lig_min,1):INDEX(D:D,Lig_max,1),0)-Lig_min+1&gt;0,D264*a_fc+b_fc&gt;fc_fin),NDVImax*a_fc+b_fc,D264*a_fc+b_fc),0),1)</f>
        <v>1</v>
      </c>
      <c r="H264" s="55">
        <f>MIN(MAX(D264*a_kcb+b_kcb,0),Kcmax)</f>
        <v>0.37125565930622</v>
      </c>
      <c r="I264" s="70">
        <f ca="1" t="shared" si="33"/>
        <v>1.7010934309411</v>
      </c>
      <c r="O264" s="55"/>
      <c r="P264" s="35">
        <f ca="1">IF(ROW()-MATCH(NDVImax,INDEX(D:D,Lig_min,1):INDEX(D:D,Lig_max,1),0)-Lig_min+1&gt;0,MAX(MIN(Zr_min+MAX(INDEX(G:G,Lig_min,1):INDEX(G:G,Lig_max,1))/MAX(MAX(INDEX(G:G,Lig_min,1):INDEX(G:G,Lig_max,1)),Max_fc_pour_Zrmax)*(Zr_max-Zr_min),Zr_max),Ze+0.001),MAX(MIN(Zr_min+G264/MAX(MAX(INDEX(G:G,Lig_min,1):INDEX(G:G,Lig_max,1)),Max_fc_pour_Zrmax)*(Zr_max-Zr_min),Zr_max),Ze+0.001))</f>
        <v>595.55606968994</v>
      </c>
      <c r="Q264" s="35">
        <f ca="1">IF(Z_sol&gt;0,Z_sol-P264,0.1)</f>
        <v>18.318481374494</v>
      </c>
      <c r="R264" s="35">
        <f ca="1">(Wfc-Wwp)*P264</f>
        <v>77.4222890596922</v>
      </c>
      <c r="S264" s="35">
        <f ca="1">(Wfc-Wwp)*Q264</f>
        <v>2.38140257868422</v>
      </c>
      <c r="T264" s="99">
        <f ca="1" t="shared" si="42"/>
        <v>1.98071778081089</v>
      </c>
      <c r="U264" s="99">
        <f ca="1" t="shared" si="43"/>
        <v>1.98071778081089</v>
      </c>
      <c r="V264" s="99">
        <f ca="1">IF(P264&gt;P263,IF(Q264&gt;1,MAX(AI263+(Wfc-Wwp)*(P264-P263)*AJ263/S263,0),AI263/P263*P264),MAX(AI263+(Wfc-Wwp)*(P264-P263)*AI263/R263,0))</f>
        <v>10.5242073187856</v>
      </c>
      <c r="W264" s="99">
        <f ca="1">IF(S264&gt;1,IF(P264&gt;P263,MAX(AJ263-(Wfc-Wwp)*(P264-P263)*AJ263/S263,0),MAX(AJ263-(Wfc-Wwp)*(P264-P263)*AI263/R263,0)),0)</f>
        <v>8.35139087699198e-7</v>
      </c>
      <c r="X264" s="99">
        <f ca="1">IF(AND(OR(AND(dec_vide_TAW&lt;0,V264&gt;R264*(p+0.04*(5-I263))),AND(dec_vide_TAW&gt;0,V264&gt;R264*dec_vide_TAW)),H264&gt;MAX(INDEX(H:H,Lig_min,1):INDEX(H:H,ROW(X264),1))*Kcbmax_stop_irrig*IF(ROW(X264)-lig_kcbmax&gt;0,1,0),MIN(INDEX(H:H,ROW(X264),1):INDEX(H:H,lig_kcbmax,1))&gt;Kcbmin_start_irrig),MIN(MAX(V264-E264*Irri_man-C264,0),Lame_max),0)</f>
        <v>0</v>
      </c>
      <c r="Y264" s="99">
        <f ca="1">MIN(MAX(T264-C264-IF(fw&gt;0,X264/fw*Irri_auto+E264/fw*Irri_man,0),0),TEW)</f>
        <v>1.78271778081089</v>
      </c>
      <c r="Z264" s="99">
        <f ca="1">MIN(MAX(U264-C264,0),TEW)</f>
        <v>1.78271778081089</v>
      </c>
      <c r="AA264" s="99">
        <f ca="1">MIN(MAX(V264-C264-(X264*Irri_auto+E264*Irri_man),0),R264)</f>
        <v>10.3262073187856</v>
      </c>
      <c r="AB264" s="99">
        <f ca="1">MIN(MAX(W264+MIN(V264-C264-(X264*Irri_auto+E264*Irri_man),0),0),S264)</f>
        <v>8.35139087699198e-7</v>
      </c>
      <c r="AC264" s="99">
        <f ca="1">-MIN(W264+MIN(V264-C264-(X264*Irri_auto+E264*Irri_man),0),0)</f>
        <v>0</v>
      </c>
      <c r="AD264" s="39">
        <f ca="1">IF(((R264-AA264)/P264-((Wfc-Wwp)*Ze-Y264)/Ze)/Wfc*DiffE&lt;0,MAX(((R264-AA264)/P264-((Wfc-Wwp)*Ze-Y264)/Ze)/Wfc*DiffE,(R264*Ze-((Wfc-Wwp)*Ze-Y264-AA264)*P264)/(P264+Ze)-AA264),MIN(((R264-AA264)/P264-((Wfc-Wwp)*Ze-Y264)/Ze)/Wfc*DiffE,(R264*Ze-((Wfc-Wwp)*Ze-Y264-AA264)*P264)/(P264+Ze)-AA264))</f>
        <v>-7.69255932733078e-9</v>
      </c>
      <c r="AE264" s="39">
        <f ca="1">IF(((R264-AA264)/P264-((Wfc-Wwp)*Ze-Z264)/Ze)/Wfc*DiffE&lt;0,MAX(((R264-AA264)/P264-((Wfc-Wwp)*Ze-Z264)/Ze)/Wfc*DiffE,(R264*Ze-((Wfc-Wwp)*Ze-Z264-AA264)*P264)/(P264+Ze)-AA264),MIN(((R264-AA264)/P264-((Wfc-Wwp)*Ze-Z264)/Ze)/Wfc*DiffE,(R264*Ze-((Wfc-Wwp)*Ze-Z264-AA264)*P264)/(P264+Ze)-AA264))</f>
        <v>-7.69255932733078e-9</v>
      </c>
      <c r="AF264" s="39">
        <f ca="1">IF(((S264-AB264)/Q264-(R264-AA264)/P264)/Wfc*DiffR&lt;0,MAX(((S264-AB264)/Q264-(R264-AA264)/P264)/Wfc*DiffR,(S264*P264-(R264-AA264-AB264)*Q264)/(P264+Q264)-AB264),MIN(((S264-AB264)/Q264-(R264-AA264)/P264)/Wfc*DiffR,(S264*P264-(R264-AA264-AB264)*Q264)/(P264+Q264)-AB264))</f>
        <v>4.33468009686139e-8</v>
      </c>
      <c r="AG264" s="99">
        <f ca="1">MIN(MAX(Y264+IF(AU264&gt;0,B264*AZ264/AU264,0)+BE264-AD264,0),TEW)</f>
        <v>2.51060511951429</v>
      </c>
      <c r="AH264" s="99">
        <f ca="1">MIN(MAX(Z264+IF(AV264&gt;0,B264*BA264/AV264,0)+BF264-AE264,0),TEW)</f>
        <v>2.51060511951429</v>
      </c>
      <c r="AI264" s="99">
        <f ca="1" t="shared" si="34"/>
        <v>12.0273007063799</v>
      </c>
      <c r="AJ264" s="99">
        <f ca="1" t="shared" si="35"/>
        <v>8.78485888667812e-7</v>
      </c>
      <c r="AK264" s="70">
        <f ca="1">IF((AU264+AV264)&gt;0,(TEW-(AG264*AU264+AH264*AV264)/(AU264+AV264))/TEW,(TEW-(AG264+AH264)/2)/TEW)</f>
        <v>0.924208147335417</v>
      </c>
      <c r="AL264" s="70">
        <f ca="1" t="shared" si="36"/>
        <v>0.844653253572665</v>
      </c>
      <c r="AM264" s="70">
        <f ca="1" t="shared" si="37"/>
        <v>0.999999631105678</v>
      </c>
      <c r="AN264" s="70">
        <f ca="1">Wwp+(Wfc-Wwp)*IF((AU264+AV264)&gt;0,(TEW-(AG264*AU264+AH264*AV264)/(AU264+AV264))/TEW,(TEW-(AG264+AH264)/2)/TEW)</f>
        <v>0.390147059153604</v>
      </c>
      <c r="AO264" s="70">
        <f ca="1">Wwp+(Wfc-Wwp)*(R264-AI264)/R264</f>
        <v>0.379804922964446</v>
      </c>
      <c r="AP264" s="70">
        <f ca="1">Wwp+(Wfc-Wwp)*(S264-AJ264)/S264</f>
        <v>0.399999952043738</v>
      </c>
      <c r="AQ264" s="70"/>
      <c r="AR264" s="70"/>
      <c r="AS264" s="70"/>
      <c r="AT264" s="70"/>
      <c r="AU264" s="70">
        <f ca="1">MIN((1-G264),fw)</f>
        <v>0</v>
      </c>
      <c r="AV264" s="70">
        <f ca="1" t="shared" si="38"/>
        <v>0</v>
      </c>
      <c r="AW264" s="70">
        <f ca="1">MIN((TEW-Y264)/(TEW-REW),1)</f>
        <v>0.120428355181162</v>
      </c>
      <c r="AX264" s="70">
        <f ca="1">MIN((TEW-Z264)/(TEW-REW),1)</f>
        <v>0.120428355181162</v>
      </c>
      <c r="AY264" s="70">
        <f ca="1">IF((AU264*(TEW-Y264))&gt;0,1/(1+((AV264*(TEW-Z264))/(AU264*(TEW-Y264)))),0)</f>
        <v>0</v>
      </c>
      <c r="AZ264" s="70">
        <f ca="1">MIN((AY264*AW264*(Kcmax-H264)),AU264*Kcmax)</f>
        <v>0</v>
      </c>
      <c r="BA264" s="70">
        <f ca="1">MIN(((1-AY264)*AX264*(Kcmax-H264)),AV264*Kcmax)</f>
        <v>0</v>
      </c>
      <c r="BB264" s="70">
        <f ca="1" t="shared" si="39"/>
        <v>0</v>
      </c>
      <c r="BC264" s="70">
        <f ca="1">MIN((R264-AA264)/(R264*(1-(p+0.04*(5-I263)))),1)</f>
        <v>1</v>
      </c>
      <c r="BD264" s="10">
        <f ca="1" t="shared" si="40"/>
        <v>1.7010934309411</v>
      </c>
      <c r="BE264" s="70">
        <f ca="1">MIN(IF((1-AA264/R264)&gt;0,(1-Y264/TEW)/(1-AA264/R264)*(Ze/P264)^0.6,0),1)*BC264*H264*B264</f>
        <v>0.727887331010841</v>
      </c>
      <c r="BF264" s="70">
        <f ca="1">MIN(IF((1-AA264/R264)&gt;0,(1-Z264/TEW)/(1-AA264/R264)*(Ze/P264)^0.6,0),1)*BC264*H264*B264</f>
        <v>0.727887331010841</v>
      </c>
      <c r="BH264" s="10">
        <f ca="1" t="shared" si="41"/>
        <v>0.197520185672214</v>
      </c>
      <c r="BI264" s="10">
        <f ca="1">IF(F264&lt;&gt;"",(Moy_Etobs-F264)^2,"")</f>
        <v>0.124052991875295</v>
      </c>
    </row>
    <row r="265" spans="1:61">
      <c r="A265" s="38">
        <v>39258</v>
      </c>
      <c r="B265" s="10">
        <v>1.528</v>
      </c>
      <c r="C265" s="39">
        <v>0.99</v>
      </c>
      <c r="D265" s="10">
        <v>0.381</v>
      </c>
      <c r="E265" s="39">
        <v>0</v>
      </c>
      <c r="F265" s="10">
        <v>1.2409362</v>
      </c>
      <c r="G265" s="10">
        <f ca="1">MIN(MAX(IF(AND(Durpla&gt;ROW()-MATCH(NDVImax,INDEX(D:D,Lig_min,1):INDEX(D:D,Lig_max,1),0)-Lig_min+1,ROW()-MATCH(NDVImax,INDEX(D:D,Lig_min,1):INDEX(D:D,Lig_max,1),0)-Lig_min+1&gt;0,D265*a_fc+b_fc&gt;fc_fin),NDVImax*a_fc+b_fc,D265*a_fc+b_fc),0),1)</f>
        <v>1</v>
      </c>
      <c r="H265" s="55">
        <f>MIN(MAX(D265*a_kcb+b_kcb,0),Kcmax)</f>
        <v>0.347206709715533</v>
      </c>
      <c r="I265" s="70">
        <f ca="1" t="shared" si="33"/>
        <v>0.530531852445335</v>
      </c>
      <c r="O265" s="55"/>
      <c r="P265" s="35">
        <f ca="1">IF(ROW()-MATCH(NDVImax,INDEX(D:D,Lig_min,1):INDEX(D:D,Lig_max,1),0)-Lig_min+1&gt;0,MAX(MIN(Zr_min+MAX(INDEX(G:G,Lig_min,1):INDEX(G:G,Lig_max,1))/MAX(MAX(INDEX(G:G,Lig_min,1):INDEX(G:G,Lig_max,1)),Max_fc_pour_Zrmax)*(Zr_max-Zr_min),Zr_max),Ze+0.001),MAX(MIN(Zr_min+G265/MAX(MAX(INDEX(G:G,Lig_min,1):INDEX(G:G,Lig_max,1)),Max_fc_pour_Zrmax)*(Zr_max-Zr_min),Zr_max),Ze+0.001))</f>
        <v>595.55606968994</v>
      </c>
      <c r="Q265" s="35">
        <f ca="1">IF(Z_sol&gt;0,Z_sol-P265,0.1)</f>
        <v>18.318481374494</v>
      </c>
      <c r="R265" s="35">
        <f ca="1">(Wfc-Wwp)*P265</f>
        <v>77.4222890596922</v>
      </c>
      <c r="S265" s="35">
        <f ca="1">(Wfc-Wwp)*Q265</f>
        <v>2.38140257868422</v>
      </c>
      <c r="T265" s="99">
        <f ca="1" t="shared" si="42"/>
        <v>2.51060511951429</v>
      </c>
      <c r="U265" s="99">
        <f ca="1" t="shared" si="43"/>
        <v>2.51060511951429</v>
      </c>
      <c r="V265" s="99">
        <f ca="1">IF(P265&gt;P264,IF(Q265&gt;1,MAX(AI264+(Wfc-Wwp)*(P265-P264)*AJ264/S264,0),AI264/P264*P265),MAX(AI264+(Wfc-Wwp)*(P265-P264)*AI264/R264,0))</f>
        <v>12.0273007063799</v>
      </c>
      <c r="W265" s="99">
        <f ca="1">IF(S265&gt;1,IF(P265&gt;P264,MAX(AJ264-(Wfc-Wwp)*(P265-P264)*AJ264/S264,0),MAX(AJ264-(Wfc-Wwp)*(P265-P264)*AI264/R264,0)),0)</f>
        <v>8.78485888667812e-7</v>
      </c>
      <c r="X265" s="99">
        <f ca="1">IF(AND(OR(AND(dec_vide_TAW&lt;0,V265&gt;R265*(p+0.04*(5-I264))),AND(dec_vide_TAW&gt;0,V265&gt;R265*dec_vide_TAW)),H265&gt;MAX(INDEX(H:H,Lig_min,1):INDEX(H:H,ROW(X265),1))*Kcbmax_stop_irrig*IF(ROW(X265)-lig_kcbmax&gt;0,1,0),MIN(INDEX(H:H,ROW(X265),1):INDEX(H:H,lig_kcbmax,1))&gt;Kcbmin_start_irrig),MIN(MAX(V265-E265*Irri_man-C265,0),Lame_max),0)</f>
        <v>0</v>
      </c>
      <c r="Y265" s="99">
        <f ca="1">MIN(MAX(T265-C265-IF(fw&gt;0,X265/fw*Irri_auto+E265/fw*Irri_man,0),0),TEW)</f>
        <v>1.52060511951429</v>
      </c>
      <c r="Z265" s="99">
        <f ca="1">MIN(MAX(U265-C265,0),TEW)</f>
        <v>1.52060511951429</v>
      </c>
      <c r="AA265" s="99">
        <f ca="1">MIN(MAX(V265-C265-(X265*Irri_auto+E265*Irri_man),0),R265)</f>
        <v>11.0373007063799</v>
      </c>
      <c r="AB265" s="99">
        <f ca="1">MIN(MAX(W265+MIN(V265-C265-(X265*Irri_auto+E265*Irri_man),0),0),S265)</f>
        <v>8.78485888667812e-7</v>
      </c>
      <c r="AC265" s="99">
        <f ca="1">-MIN(W265+MIN(V265-C265-(X265*Irri_auto+E265*Irri_man),0),0)</f>
        <v>0</v>
      </c>
      <c r="AD265" s="39">
        <f ca="1">IF(((R265-AA265)/P265-((Wfc-Wwp)*Ze-Y265)/Ze)/Wfc*DiffE&lt;0,MAX(((R265-AA265)/P265-((Wfc-Wwp)*Ze-Y265)/Ze)/Wfc*DiffE,(R265*Ze-((Wfc-Wwp)*Ze-Y265-AA265)*P265)/(P265+Ze)-AA265),MIN(((R265-AA265)/P265-((Wfc-Wwp)*Ze-Y265)/Ze)/Wfc*DiffE,(R265*Ze-((Wfc-Wwp)*Ze-Y265-AA265)*P265)/(P265+Ze)-AA265))</f>
        <v>-1.59198102041326e-8</v>
      </c>
      <c r="AE265" s="39">
        <f ca="1">IF(((R265-AA265)/P265-((Wfc-Wwp)*Ze-Z265)/Ze)/Wfc*DiffE&lt;0,MAX(((R265-AA265)/P265-((Wfc-Wwp)*Ze-Z265)/Ze)/Wfc*DiffE,(R265*Ze-((Wfc-Wwp)*Ze-Z265-AA265)*P265)/(P265+Ze)-AA265),MIN(((R265-AA265)/P265-((Wfc-Wwp)*Ze-Z265)/Ze)/Wfc*DiffE,(R265*Ze-((Wfc-Wwp)*Ze-Z265-AA265)*P265)/(P265+Ze)-AA265))</f>
        <v>-1.59198102041326e-8</v>
      </c>
      <c r="AF265" s="39">
        <f ca="1">IF(((S265-AB265)/Q265-(R265-AA265)/P265)/Wfc*DiffR&lt;0,MAX(((S265-AB265)/Q265-(R265-AA265)/P265)/Wfc*DiffR,(S265*P265-(R265-AA265-AB265)*Q265)/(P265+Q265)-AB265),MIN(((S265-AB265)/Q265-(R265-AA265)/P265)/Wfc*DiffR,(S265*P265-(R265-AA265-AB265)*Q265)/(P265+Q265)-AB265))</f>
        <v>4.6331792703764e-8</v>
      </c>
      <c r="AG265" s="99">
        <f ca="1">MIN(MAX(Y265+IF(AU265&gt;0,B265*AZ265/AU265,0)+BE265-AD265,0),TEW)</f>
        <v>1.75196690364605</v>
      </c>
      <c r="AH265" s="99">
        <f ca="1">MIN(MAX(Z265+IF(AV265&gt;0,B265*BA265/AV265,0)+BF265-AE265,0),TEW)</f>
        <v>1.75196690364605</v>
      </c>
      <c r="AI265" s="99">
        <f ca="1" t="shared" si="34"/>
        <v>11.5678325124934</v>
      </c>
      <c r="AJ265" s="99">
        <f ca="1" t="shared" si="35"/>
        <v>9.24817681371576e-7</v>
      </c>
      <c r="AK265" s="70">
        <f ca="1">IF((AU265+AV265)&gt;0,(TEW-(AG265*AU265+AH265*AV265)/(AU265+AV265))/TEW,(TEW-(AG265+AH265)/2)/TEW)</f>
        <v>0.947110433097478</v>
      </c>
      <c r="AL265" s="70">
        <f ca="1" t="shared" si="36"/>
        <v>0.850587826154628</v>
      </c>
      <c r="AM265" s="70">
        <f ca="1" t="shared" si="37"/>
        <v>0.999999611650004</v>
      </c>
      <c r="AN265" s="70">
        <f ca="1">Wwp+(Wfc-Wwp)*IF((AU265+AV265)&gt;0,(TEW-(AG265*AU265+AH265*AV265)/(AU265+AV265))/TEW,(TEW-(AG265+AH265)/2)/TEW)</f>
        <v>0.393124356302672</v>
      </c>
      <c r="AO265" s="70">
        <f ca="1">Wwp+(Wfc-Wwp)*(R265-AI265)/R265</f>
        <v>0.380576417400102</v>
      </c>
      <c r="AP265" s="70">
        <f ca="1">Wwp+(Wfc-Wwp)*(S265-AJ265)/S265</f>
        <v>0.399999949514501</v>
      </c>
      <c r="AQ265" s="70"/>
      <c r="AR265" s="70"/>
      <c r="AS265" s="70"/>
      <c r="AT265" s="70"/>
      <c r="AU265" s="70">
        <f ca="1">MIN((1-G265),fw)</f>
        <v>0</v>
      </c>
      <c r="AV265" s="70">
        <f ca="1" t="shared" si="38"/>
        <v>0</v>
      </c>
      <c r="AW265" s="70">
        <f ca="1">MIN((TEW-Y265)/(TEW-REW),1)</f>
        <v>0.121435486584401</v>
      </c>
      <c r="AX265" s="70">
        <f ca="1">MIN((TEW-Z265)/(TEW-REW),1)</f>
        <v>0.121435486584401</v>
      </c>
      <c r="AY265" s="70">
        <f ca="1">IF((AU265*(TEW-Y265))&gt;0,1/(1+((AV265*(TEW-Z265))/(AU265*(TEW-Y265)))),0)</f>
        <v>0</v>
      </c>
      <c r="AZ265" s="70">
        <f ca="1">MIN((AY265*AW265*(Kcmax-H265)),AU265*Kcmax)</f>
        <v>0</v>
      </c>
      <c r="BA265" s="70">
        <f ca="1">MIN(((1-AY265)*AX265*(Kcmax-H265)),AV265*Kcmax)</f>
        <v>0</v>
      </c>
      <c r="BB265" s="70">
        <f ca="1" t="shared" si="39"/>
        <v>0</v>
      </c>
      <c r="BC265" s="70">
        <f ca="1">MIN((R265-AA265)/(R265*(1-(p+0.04*(5-I264)))),1)</f>
        <v>1</v>
      </c>
      <c r="BD265" s="10">
        <f ca="1" t="shared" si="40"/>
        <v>0.530531852445335</v>
      </c>
      <c r="BE265" s="70">
        <f ca="1">MIN(IF((1-AA265/R265)&gt;0,(1-Y265/TEW)/(1-AA265/R265)*(Ze/P265)^0.6,0),1)*BC265*H265*B265</f>
        <v>0.231361768211941</v>
      </c>
      <c r="BF265" s="70">
        <f ca="1">MIN(IF((1-AA265/R265)&gt;0,(1-Z265/TEW)/(1-AA265/R265)*(Ze/P265)^0.6,0),1)*BC265*H265*B265</f>
        <v>0.231361768211941</v>
      </c>
      <c r="BH265" s="10">
        <f ca="1" t="shared" si="41"/>
        <v>0.504674337024569</v>
      </c>
      <c r="BI265" s="10">
        <f ca="1">IF(F265&lt;&gt;"",(Moy_Etobs-F265)^2,"")</f>
        <v>0.135377174284062</v>
      </c>
    </row>
    <row r="266" spans="1:61">
      <c r="A266" s="38">
        <v>39259</v>
      </c>
      <c r="B266" s="10">
        <v>3.355</v>
      </c>
      <c r="C266" s="39">
        <v>0.396</v>
      </c>
      <c r="D266" s="10">
        <v>0.366</v>
      </c>
      <c r="E266" s="39">
        <v>0</v>
      </c>
      <c r="F266" s="10">
        <v>1.60884</v>
      </c>
      <c r="G266" s="10">
        <f ca="1">MIN(MAX(IF(AND(Durpla&gt;ROW()-MATCH(NDVImax,INDEX(D:D,Lig_min,1):INDEX(D:D,Lig_max,1),0)-Lig_min+1,ROW()-MATCH(NDVImax,INDEX(D:D,Lig_min,1):INDEX(D:D,Lig_max,1),0)-Lig_min+1&gt;0,D266*a_fc+b_fc&gt;fc_fin),NDVImax*a_fc+b_fc,D266*a_fc+b_fc),0),1)</f>
        <v>1</v>
      </c>
      <c r="H266" s="55">
        <f>MIN(MAX(D266*a_kcb+b_kcb,0),Kcmax)</f>
        <v>0.324660819474265</v>
      </c>
      <c r="I266" s="70">
        <f ca="1" t="shared" si="33"/>
        <v>1.08923704933616</v>
      </c>
      <c r="O266" s="55"/>
      <c r="P266" s="35">
        <f ca="1">IF(ROW()-MATCH(NDVImax,INDEX(D:D,Lig_min,1):INDEX(D:D,Lig_max,1),0)-Lig_min+1&gt;0,MAX(MIN(Zr_min+MAX(INDEX(G:G,Lig_min,1):INDEX(G:G,Lig_max,1))/MAX(MAX(INDEX(G:G,Lig_min,1):INDEX(G:G,Lig_max,1)),Max_fc_pour_Zrmax)*(Zr_max-Zr_min),Zr_max),Ze+0.001),MAX(MIN(Zr_min+G266/MAX(MAX(INDEX(G:G,Lig_min,1):INDEX(G:G,Lig_max,1)),Max_fc_pour_Zrmax)*(Zr_max-Zr_min),Zr_max),Ze+0.001))</f>
        <v>595.55606968994</v>
      </c>
      <c r="Q266" s="35">
        <f ca="1">IF(Z_sol&gt;0,Z_sol-P266,0.1)</f>
        <v>18.318481374494</v>
      </c>
      <c r="R266" s="35">
        <f ca="1">(Wfc-Wwp)*P266</f>
        <v>77.4222890596922</v>
      </c>
      <c r="S266" s="35">
        <f ca="1">(Wfc-Wwp)*Q266</f>
        <v>2.38140257868422</v>
      </c>
      <c r="T266" s="99">
        <f ca="1" t="shared" si="42"/>
        <v>1.75196690364605</v>
      </c>
      <c r="U266" s="99">
        <f ca="1" t="shared" si="43"/>
        <v>1.75196690364605</v>
      </c>
      <c r="V266" s="99">
        <f ca="1">IF(P266&gt;P265,IF(Q266&gt;1,MAX(AI265+(Wfc-Wwp)*(P266-P265)*AJ265/S265,0),AI265/P265*P266),MAX(AI265+(Wfc-Wwp)*(P266-P265)*AI265/R265,0))</f>
        <v>11.5678325124934</v>
      </c>
      <c r="W266" s="99">
        <f ca="1">IF(S266&gt;1,IF(P266&gt;P265,MAX(AJ265-(Wfc-Wwp)*(P266-P265)*AJ265/S265,0),MAX(AJ265-(Wfc-Wwp)*(P266-P265)*AI265/R265,0)),0)</f>
        <v>9.24817681371576e-7</v>
      </c>
      <c r="X266" s="99">
        <f ca="1">IF(AND(OR(AND(dec_vide_TAW&lt;0,V266&gt;R266*(p+0.04*(5-I265))),AND(dec_vide_TAW&gt;0,V266&gt;R266*dec_vide_TAW)),H266&gt;MAX(INDEX(H:H,Lig_min,1):INDEX(H:H,ROW(X266),1))*Kcbmax_stop_irrig*IF(ROW(X266)-lig_kcbmax&gt;0,1,0),MIN(INDEX(H:H,ROW(X266),1):INDEX(H:H,lig_kcbmax,1))&gt;Kcbmin_start_irrig),MIN(MAX(V266-E266*Irri_man-C266,0),Lame_max),0)</f>
        <v>0</v>
      </c>
      <c r="Y266" s="99">
        <f ca="1">MIN(MAX(T266-C266-IF(fw&gt;0,X266/fw*Irri_auto+E266/fw*Irri_man,0),0),TEW)</f>
        <v>1.35596690364605</v>
      </c>
      <c r="Z266" s="99">
        <f ca="1">MIN(MAX(U266-C266,0),TEW)</f>
        <v>1.35596690364605</v>
      </c>
      <c r="AA266" s="99">
        <f ca="1">MIN(MAX(V266-C266-(X266*Irri_auto+E266*Irri_man),0),R266)</f>
        <v>11.1718325124934</v>
      </c>
      <c r="AB266" s="99">
        <f ca="1">MIN(MAX(W266+MIN(V266-C266-(X266*Irri_auto+E266*Irri_man),0),0),S266)</f>
        <v>9.24817681371576e-7</v>
      </c>
      <c r="AC266" s="99">
        <f ca="1">-MIN(W266+MIN(V266-C266-(X266*Irri_auto+E266*Irri_man),0),0)</f>
        <v>0</v>
      </c>
      <c r="AD266" s="39">
        <f ca="1">IF(((R266-AA266)/P266-((Wfc-Wwp)*Ze-Y266)/Ze)/Wfc*DiffE&lt;0,MAX(((R266-AA266)/P266-((Wfc-Wwp)*Ze-Y266)/Ze)/Wfc*DiffE,(R266*Ze-((Wfc-Wwp)*Ze-Y266-AA266)*P266)/(P266+Ze)-AA266),MIN(((R266-AA266)/P266-((Wfc-Wwp)*Ze-Y266)/Ze)/Wfc*DiffE,(R266*Ze-((Wfc-Wwp)*Ze-Y266-AA266)*P266)/(P266+Ze)-AA266))</f>
        <v>-1.97773064290389e-8</v>
      </c>
      <c r="AE266" s="39">
        <f ca="1">IF(((R266-AA266)/P266-((Wfc-Wwp)*Ze-Z266)/Ze)/Wfc*DiffE&lt;0,MAX(((R266-AA266)/P266-((Wfc-Wwp)*Ze-Z266)/Ze)/Wfc*DiffE,(R266*Ze-((Wfc-Wwp)*Ze-Z266-AA266)*P266)/(P266+Ze)-AA266),MIN(((R266-AA266)/P266-((Wfc-Wwp)*Ze-Z266)/Ze)/Wfc*DiffE,(R266*Ze-((Wfc-Wwp)*Ze-Z266-AA266)*P266)/(P266+Ze)-AA266))</f>
        <v>-1.97773064290389e-8</v>
      </c>
      <c r="AF266" s="39">
        <f ca="1">IF(((S266-AB266)/Q266-(R266-AA266)/P266)/Wfc*DiffR&lt;0,MAX(((S266-AB266)/Q266-(R266-AA266)/P266)/Wfc*DiffR,(S266*P266-(R266-AA266-AB266)*Q266)/(P266+Q266)-AB266),MIN(((S266-AB266)/Q266-(R266-AA266)/P266)/Wfc*DiffR,(S266*P266-(R266-AA266-AB266)*Q266)/(P266+Q266)-AB266))</f>
        <v>4.68965182882112e-8</v>
      </c>
      <c r="AG266" s="99">
        <f ca="1">MIN(MAX(Y266+IF(AU266&gt;0,B266*AZ266/AU266,0)+BE266-AD266,0),TEW)</f>
        <v>1.83442078258889</v>
      </c>
      <c r="AH266" s="99">
        <f ca="1">MIN(MAX(Z266+IF(AV266&gt;0,B266*BA266/AV266,0)+BF266-AE266,0),TEW)</f>
        <v>1.83442078258889</v>
      </c>
      <c r="AI266" s="99">
        <f ca="1" t="shared" si="34"/>
        <v>12.261069514933</v>
      </c>
      <c r="AJ266" s="99">
        <f ca="1" t="shared" si="35"/>
        <v>9.71714199659787e-7</v>
      </c>
      <c r="AK266" s="70">
        <f ca="1">IF((AU266+AV266)&gt;0,(TEW-(AG266*AU266+AH266*AV266)/(AU266+AV266))/TEW,(TEW-(AG266+AH266)/2)/TEW)</f>
        <v>0.944621259393543</v>
      </c>
      <c r="AL266" s="70">
        <f ca="1" t="shared" si="36"/>
        <v>0.841633854231824</v>
      </c>
      <c r="AM266" s="70">
        <f ca="1" t="shared" si="37"/>
        <v>0.99999959195719</v>
      </c>
      <c r="AN266" s="70">
        <f ca="1">Wwp+(Wfc-Wwp)*IF((AU266+AV266)&gt;0,(TEW-(AG266*AU266+AH266*AV266)/(AU266+AV266))/TEW,(TEW-(AG266+AH266)/2)/TEW)</f>
        <v>0.392800763721161</v>
      </c>
      <c r="AO266" s="70">
        <f ca="1">Wwp+(Wfc-Wwp)*(R266-AI266)/R266</f>
        <v>0.379412401050137</v>
      </c>
      <c r="AP266" s="70">
        <f ca="1">Wwp+(Wfc-Wwp)*(S266-AJ266)/S266</f>
        <v>0.399999946954435</v>
      </c>
      <c r="AQ266" s="70"/>
      <c r="AR266" s="70"/>
      <c r="AS266" s="70"/>
      <c r="AT266" s="70"/>
      <c r="AU266" s="70">
        <f ca="1">MIN((1-G266),fw)</f>
        <v>0</v>
      </c>
      <c r="AV266" s="70">
        <f ca="1" t="shared" si="38"/>
        <v>0</v>
      </c>
      <c r="AW266" s="70">
        <f ca="1">MIN((TEW-Y266)/(TEW-REW),1)</f>
        <v>0.122068086003879</v>
      </c>
      <c r="AX266" s="70">
        <f ca="1">MIN((TEW-Z266)/(TEW-REW),1)</f>
        <v>0.122068086003879</v>
      </c>
      <c r="AY266" s="70">
        <f ca="1">IF((AU266*(TEW-Y266))&gt;0,1/(1+((AV266*(TEW-Z266))/(AU266*(TEW-Y266)))),0)</f>
        <v>0</v>
      </c>
      <c r="AZ266" s="70">
        <f ca="1">MIN((AY266*AW266*(Kcmax-H266)),AU266*Kcmax)</f>
        <v>0</v>
      </c>
      <c r="BA266" s="70">
        <f ca="1">MIN(((1-AY266)*AX266*(Kcmax-H266)),AV266*Kcmax)</f>
        <v>0</v>
      </c>
      <c r="BB266" s="70">
        <f ca="1" t="shared" si="39"/>
        <v>0</v>
      </c>
      <c r="BC266" s="70">
        <f ca="1">MIN((R266-AA266)/(R266*(1-(p+0.04*(5-I265)))),1)</f>
        <v>1</v>
      </c>
      <c r="BD266" s="10">
        <f ca="1" t="shared" si="40"/>
        <v>1.08923704933616</v>
      </c>
      <c r="BE266" s="70">
        <f ca="1">MIN(IF((1-AA266/R266)&gt;0,(1-Y266/TEW)/(1-AA266/R266)*(Ze/P266)^0.6,0),1)*BC266*H266*B266</f>
        <v>0.47845385916554</v>
      </c>
      <c r="BF266" s="70">
        <f ca="1">MIN(IF((1-AA266/R266)&gt;0,(1-Z266/TEW)/(1-AA266/R266)*(Ze/P266)^0.6,0),1)*BC266*H266*B266</f>
        <v>0.47845385916554</v>
      </c>
      <c r="BH266" s="10">
        <f ca="1" t="shared" si="41"/>
        <v>0.26998722633857</v>
      </c>
      <c r="BI266" s="10">
        <f ca="1">IF(F266&lt;&gt;"",(Moy_Etobs-F266)^2,"")</f>
        <v>1.06097444920938e-9</v>
      </c>
    </row>
    <row r="267" spans="1:61">
      <c r="A267" s="38">
        <v>39260</v>
      </c>
      <c r="B267" s="10">
        <v>3.137</v>
      </c>
      <c r="C267" s="39">
        <v>0</v>
      </c>
      <c r="D267" s="10">
        <v>0.35</v>
      </c>
      <c r="E267" s="39">
        <v>0</v>
      </c>
      <c r="F267" s="10">
        <v>1.290465</v>
      </c>
      <c r="G267" s="10">
        <f ca="1">MIN(MAX(IF(AND(Durpla&gt;ROW()-MATCH(NDVImax,INDEX(D:D,Lig_min,1):INDEX(D:D,Lig_max,1),0)-Lig_min+1,ROW()-MATCH(NDVImax,INDEX(D:D,Lig_min,1):INDEX(D:D,Lig_max,1),0)-Lig_min+1&gt;0,D267*a_fc+b_fc&gt;fc_fin),NDVImax*a_fc+b_fc,D267*a_fc+b_fc),0),1)</f>
        <v>1</v>
      </c>
      <c r="H267" s="55">
        <f>MIN(MAX(D267*a_kcb+b_kcb,0),Kcmax)</f>
        <v>0.300611869883579</v>
      </c>
      <c r="I267" s="70">
        <f ca="1" t="shared" si="33"/>
        <v>0.943019435824786</v>
      </c>
      <c r="O267" s="55"/>
      <c r="P267" s="35">
        <f ca="1">IF(ROW()-MATCH(NDVImax,INDEX(D:D,Lig_min,1):INDEX(D:D,Lig_max,1),0)-Lig_min+1&gt;0,MAX(MIN(Zr_min+MAX(INDEX(G:G,Lig_min,1):INDEX(G:G,Lig_max,1))/MAX(MAX(INDEX(G:G,Lig_min,1):INDEX(G:G,Lig_max,1)),Max_fc_pour_Zrmax)*(Zr_max-Zr_min),Zr_max),Ze+0.001),MAX(MIN(Zr_min+G267/MAX(MAX(INDEX(G:G,Lig_min,1):INDEX(G:G,Lig_max,1)),Max_fc_pour_Zrmax)*(Zr_max-Zr_min),Zr_max),Ze+0.001))</f>
        <v>595.55606968994</v>
      </c>
      <c r="Q267" s="35">
        <f ca="1">IF(Z_sol&gt;0,Z_sol-P267,0.1)</f>
        <v>18.318481374494</v>
      </c>
      <c r="R267" s="35">
        <f ca="1">(Wfc-Wwp)*P267</f>
        <v>77.4222890596922</v>
      </c>
      <c r="S267" s="35">
        <f ca="1">(Wfc-Wwp)*Q267</f>
        <v>2.38140257868422</v>
      </c>
      <c r="T267" s="99">
        <f ca="1" t="shared" si="42"/>
        <v>1.83442078258889</v>
      </c>
      <c r="U267" s="99">
        <f ca="1" t="shared" si="43"/>
        <v>1.83442078258889</v>
      </c>
      <c r="V267" s="99">
        <f ca="1">IF(P267&gt;P266,IF(Q267&gt;1,MAX(AI266+(Wfc-Wwp)*(P267-P266)*AJ266/S266,0),AI266/P266*P267),MAX(AI266+(Wfc-Wwp)*(P267-P266)*AI266/R266,0))</f>
        <v>12.261069514933</v>
      </c>
      <c r="W267" s="99">
        <f ca="1">IF(S267&gt;1,IF(P267&gt;P266,MAX(AJ266-(Wfc-Wwp)*(P267-P266)*AJ266/S266,0),MAX(AJ266-(Wfc-Wwp)*(P267-P266)*AI266/R266,0)),0)</f>
        <v>9.71714199659787e-7</v>
      </c>
      <c r="X267" s="99">
        <f ca="1">IF(AND(OR(AND(dec_vide_TAW&lt;0,V267&gt;R267*(p+0.04*(5-I266))),AND(dec_vide_TAW&gt;0,V267&gt;R267*dec_vide_TAW)),H267&gt;MAX(INDEX(H:H,Lig_min,1):INDEX(H:H,ROW(X267),1))*Kcbmax_stop_irrig*IF(ROW(X267)-lig_kcbmax&gt;0,1,0),MIN(INDEX(H:H,ROW(X267),1):INDEX(H:H,lig_kcbmax,1))&gt;Kcbmin_start_irrig),MIN(MAX(V267-E267*Irri_man-C267,0),Lame_max),0)</f>
        <v>0</v>
      </c>
      <c r="Y267" s="99">
        <f ca="1">MIN(MAX(T267-C267-IF(fw&gt;0,X267/fw*Irri_auto+E267/fw*Irri_man,0),0),TEW)</f>
        <v>1.83442078258889</v>
      </c>
      <c r="Z267" s="99">
        <f ca="1">MIN(MAX(U267-C267,0),TEW)</f>
        <v>1.83442078258889</v>
      </c>
      <c r="AA267" s="99">
        <f ca="1">MIN(MAX(V267-C267-(X267*Irri_auto+E267*Irri_man),0),R267)</f>
        <v>12.261069514933</v>
      </c>
      <c r="AB267" s="99">
        <f ca="1">MIN(MAX(W267+MIN(V267-C267-(X267*Irri_auto+E267*Irri_man),0),0),S267)</f>
        <v>9.71714199659787e-7</v>
      </c>
      <c r="AC267" s="99">
        <f ca="1">-MIN(W267+MIN(V267-C267-(X267*Irri_auto+E267*Irri_man),0),0)</f>
        <v>0</v>
      </c>
      <c r="AD267" s="39">
        <f ca="1">IF(((R267-AA267)/P267-((Wfc-Wwp)*Ze-Y267)/Ze)/Wfc*DiffE&lt;0,MAX(((R267-AA267)/P267-((Wfc-Wwp)*Ze-Y267)/Ze)/Wfc*DiffE,(R267*Ze-((Wfc-Wwp)*Ze-Y267-AA267)*P267)/(P267+Ze)-AA267),MIN(((R267-AA267)/P267-((Wfc-Wwp)*Ze-Y267)/Ze)/Wfc*DiffE,(R267*Ze-((Wfc-Wwp)*Ze-Y267-AA267)*P267)/(P267+Ze)-AA267))</f>
        <v>-1.47805817228793e-8</v>
      </c>
      <c r="AE267" s="39">
        <f ca="1">IF(((R267-AA267)/P267-((Wfc-Wwp)*Ze-Z267)/Ze)/Wfc*DiffE&lt;0,MAX(((R267-AA267)/P267-((Wfc-Wwp)*Ze-Z267)/Ze)/Wfc*DiffE,(R267*Ze-((Wfc-Wwp)*Ze-Z267-AA267)*P267)/(P267+Ze)-AA267),MIN(((R267-AA267)/P267-((Wfc-Wwp)*Ze-Z267)/Ze)/Wfc*DiffE,(R267*Ze-((Wfc-Wwp)*Ze-Z267-AA267)*P267)/(P267+Ze)-AA267))</f>
        <v>-1.47805817228793e-8</v>
      </c>
      <c r="AF267" s="39">
        <f ca="1">IF(((S267-AB267)/Q267-(R267-AA267)/P267)/Wfc*DiffR&lt;0,MAX(((S267-AB267)/Q267-(R267-AA267)/P267)/Wfc*DiffR,(S267*P267-(R267-AA267-AB267)*Q267)/(P267+Q267)-AB267),MIN(((S267-AB267)/Q267-(R267-AA267)/P267)/Wfc*DiffR,(S267*P267-(R267-AA267-AB267)*Q267)/(P267+Q267)-AB267))</f>
        <v>5.14688647607439e-8</v>
      </c>
      <c r="AG267" s="99">
        <f ca="1">MIN(MAX(Y267+IF(AU267&gt;0,B267*AZ267/AU267,0)+BE267-AD267,0),TEW)</f>
        <v>2.24922923088147</v>
      </c>
      <c r="AH267" s="99">
        <f ca="1">MIN(MAX(Z267+IF(AV267&gt;0,B267*BA267/AV267,0)+BF267-AE267,0),TEW)</f>
        <v>2.24922923088147</v>
      </c>
      <c r="AI267" s="99">
        <f ca="1" t="shared" si="34"/>
        <v>13.204088899289</v>
      </c>
      <c r="AJ267" s="99">
        <f ca="1" t="shared" si="35"/>
        <v>1.02318306442053e-6</v>
      </c>
      <c r="AK267" s="70">
        <f ca="1">IF((AU267+AV267)&gt;0,(TEW-(AG267*AU267+AH267*AV267)/(AU267+AV267))/TEW,(TEW-(AG267+AH267)/2)/TEW)</f>
        <v>0.932098740199805</v>
      </c>
      <c r="AL267" s="70">
        <f ca="1" t="shared" si="36"/>
        <v>0.829453648817995</v>
      </c>
      <c r="AM267" s="70">
        <f ca="1" t="shared" si="37"/>
        <v>0.999999570344353</v>
      </c>
      <c r="AN267" s="70">
        <f ca="1">Wwp+(Wfc-Wwp)*IF((AU267+AV267)&gt;0,(TEW-(AG267*AU267+AH267*AV267)/(AU267+AV267))/TEW,(TEW-(AG267+AH267)/2)/TEW)</f>
        <v>0.391172836225975</v>
      </c>
      <c r="AO267" s="70">
        <f ca="1">Wwp+(Wfc-Wwp)*(R267-AI267)/R267</f>
        <v>0.377828974346339</v>
      </c>
      <c r="AP267" s="70">
        <f ca="1">Wwp+(Wfc-Wwp)*(S267-AJ267)/S267</f>
        <v>0.399999944144766</v>
      </c>
      <c r="AQ267" s="70"/>
      <c r="AR267" s="70"/>
      <c r="AS267" s="70"/>
      <c r="AT267" s="70"/>
      <c r="AU267" s="70">
        <f ca="1">MIN((1-G267),fw)</f>
        <v>0</v>
      </c>
      <c r="AV267" s="70">
        <f ca="1" t="shared" si="38"/>
        <v>0</v>
      </c>
      <c r="AW267" s="70">
        <f ca="1">MIN((TEW-Y267)/(TEW-REW),1)</f>
        <v>0.120229693596198</v>
      </c>
      <c r="AX267" s="70">
        <f ca="1">MIN((TEW-Z267)/(TEW-REW),1)</f>
        <v>0.120229693596198</v>
      </c>
      <c r="AY267" s="70">
        <f ca="1">IF((AU267*(TEW-Y267))&gt;0,1/(1+((AV267*(TEW-Z267))/(AU267*(TEW-Y267)))),0)</f>
        <v>0</v>
      </c>
      <c r="AZ267" s="70">
        <f ca="1">MIN((AY267*AW267*(Kcmax-H267)),AU267*Kcmax)</f>
        <v>0</v>
      </c>
      <c r="BA267" s="70">
        <f ca="1">MIN(((1-AY267)*AX267*(Kcmax-H267)),AV267*Kcmax)</f>
        <v>0</v>
      </c>
      <c r="BB267" s="70">
        <f ca="1" t="shared" si="39"/>
        <v>0</v>
      </c>
      <c r="BC267" s="70">
        <f ca="1">MIN((R267-AA267)/(R267*(1-(p+0.04*(5-I266)))),1)</f>
        <v>1</v>
      </c>
      <c r="BD267" s="10">
        <f ca="1" t="shared" si="40"/>
        <v>0.943019435824786</v>
      </c>
      <c r="BE267" s="70">
        <f ca="1">MIN(IF((1-AA267/R267)&gt;0,(1-Y267/TEW)/(1-AA267/R267)*(Ze/P267)^0.6,0),1)*BC267*H267*B267</f>
        <v>0.414808433511993</v>
      </c>
      <c r="BF267" s="70">
        <f ca="1">MIN(IF((1-AA267/R267)&gt;0,(1-Z267/TEW)/(1-AA267/R267)*(Ze/P267)^0.6,0),1)*BC267*H267*B267</f>
        <v>0.414808433511993</v>
      </c>
      <c r="BH267" s="10">
        <f ca="1" t="shared" si="41"/>
        <v>0.120718420065033</v>
      </c>
      <c r="BI267" s="10">
        <f ca="1">IF(F267&lt;&gt;"",(Moy_Etobs-F267)^2,"")</f>
        <v>0.101383382290769</v>
      </c>
    </row>
    <row r="268" spans="1:61">
      <c r="A268" s="38">
        <v>39261</v>
      </c>
      <c r="B268" s="10">
        <v>4.741</v>
      </c>
      <c r="C268" s="39">
        <v>0</v>
      </c>
      <c r="D268" s="10">
        <v>0.334</v>
      </c>
      <c r="E268" s="39">
        <v>0</v>
      </c>
      <c r="F268" s="10">
        <v>1.3906746</v>
      </c>
      <c r="G268" s="10">
        <f ca="1">MIN(MAX(IF(AND(Durpla&gt;ROW()-MATCH(NDVImax,INDEX(D:D,Lig_min,1):INDEX(D:D,Lig_max,1),0)-Lig_min+1,ROW()-MATCH(NDVImax,INDEX(D:D,Lig_min,1):INDEX(D:D,Lig_max,1),0)-Lig_min+1&gt;0,D268*a_fc+b_fc&gt;fc_fin),NDVImax*a_fc+b_fc,D268*a_fc+b_fc),0),1)</f>
        <v>1</v>
      </c>
      <c r="H268" s="55">
        <f>MIN(MAX(D268*a_kcb+b_kcb,0),Kcmax)</f>
        <v>0.276562920292892</v>
      </c>
      <c r="I268" s="70">
        <f ca="1" t="shared" si="33"/>
        <v>1.3111848051086</v>
      </c>
      <c r="O268" s="55"/>
      <c r="P268" s="35">
        <f ca="1">IF(ROW()-MATCH(NDVImax,INDEX(D:D,Lig_min,1):INDEX(D:D,Lig_max,1),0)-Lig_min+1&gt;0,MAX(MIN(Zr_min+MAX(INDEX(G:G,Lig_min,1):INDEX(G:G,Lig_max,1))/MAX(MAX(INDEX(G:G,Lig_min,1):INDEX(G:G,Lig_max,1)),Max_fc_pour_Zrmax)*(Zr_max-Zr_min),Zr_max),Ze+0.001),MAX(MIN(Zr_min+G268/MAX(MAX(INDEX(G:G,Lig_min,1):INDEX(G:G,Lig_max,1)),Max_fc_pour_Zrmax)*(Zr_max-Zr_min),Zr_max),Ze+0.001))</f>
        <v>595.55606968994</v>
      </c>
      <c r="Q268" s="35">
        <f ca="1">IF(Z_sol&gt;0,Z_sol-P268,0.1)</f>
        <v>18.318481374494</v>
      </c>
      <c r="R268" s="35">
        <f ca="1">(Wfc-Wwp)*P268</f>
        <v>77.4222890596922</v>
      </c>
      <c r="S268" s="35">
        <f ca="1">(Wfc-Wwp)*Q268</f>
        <v>2.38140257868422</v>
      </c>
      <c r="T268" s="99">
        <f ca="1" t="shared" si="42"/>
        <v>2.24922923088147</v>
      </c>
      <c r="U268" s="99">
        <f ca="1" t="shared" si="43"/>
        <v>2.24922923088147</v>
      </c>
      <c r="V268" s="99">
        <f ca="1">IF(P268&gt;P267,IF(Q268&gt;1,MAX(AI267+(Wfc-Wwp)*(P268-P267)*AJ267/S267,0),AI267/P267*P268),MAX(AI267+(Wfc-Wwp)*(P268-P267)*AI267/R267,0))</f>
        <v>13.204088899289</v>
      </c>
      <c r="W268" s="99">
        <f ca="1">IF(S268&gt;1,IF(P268&gt;P267,MAX(AJ267-(Wfc-Wwp)*(P268-P267)*AJ267/S267,0),MAX(AJ267-(Wfc-Wwp)*(P268-P267)*AI267/R267,0)),0)</f>
        <v>1.02318306442053e-6</v>
      </c>
      <c r="X268" s="99">
        <f ca="1">IF(AND(OR(AND(dec_vide_TAW&lt;0,V268&gt;R268*(p+0.04*(5-I267))),AND(dec_vide_TAW&gt;0,V268&gt;R268*dec_vide_TAW)),H268&gt;MAX(INDEX(H:H,Lig_min,1):INDEX(H:H,ROW(X268),1))*Kcbmax_stop_irrig*IF(ROW(X268)-lig_kcbmax&gt;0,1,0),MIN(INDEX(H:H,ROW(X268),1):INDEX(H:H,lig_kcbmax,1))&gt;Kcbmin_start_irrig),MIN(MAX(V268-E268*Irri_man-C268,0),Lame_max),0)</f>
        <v>0</v>
      </c>
      <c r="Y268" s="99">
        <f ca="1">MIN(MAX(T268-C268-IF(fw&gt;0,X268/fw*Irri_auto+E268/fw*Irri_man,0),0),TEW)</f>
        <v>2.24922923088147</v>
      </c>
      <c r="Z268" s="99">
        <f ca="1">MIN(MAX(U268-C268,0),TEW)</f>
        <v>2.24922923088147</v>
      </c>
      <c r="AA268" s="99">
        <f ca="1">MIN(MAX(V268-C268-(X268*Irri_auto+E268*Irri_man),0),R268)</f>
        <v>13.204088899289</v>
      </c>
      <c r="AB268" s="99">
        <f ca="1">MIN(MAX(W268+MIN(V268-C268-(X268*Irri_auto+E268*Irri_man),0),0),S268)</f>
        <v>1.02318306442053e-6</v>
      </c>
      <c r="AC268" s="99">
        <f ca="1">-MIN(W268+MIN(V268-C268-(X268*Irri_auto+E268*Irri_man),0),0)</f>
        <v>0</v>
      </c>
      <c r="AD268" s="39">
        <f ca="1">IF(((R268-AA268)/P268-((Wfc-Wwp)*Ze-Y268)/Ze)/Wfc*DiffE&lt;0,MAX(((R268-AA268)/P268-((Wfc-Wwp)*Ze-Y268)/Ze)/Wfc*DiffE,(R268*Ze-((Wfc-Wwp)*Ze-Y268-AA268)*P268)/(P268+Ze)-AA268),MIN(((R268-AA268)/P268-((Wfc-Wwp)*Ze-Y268)/Ze)/Wfc*DiffE,(R268*Ze-((Wfc-Wwp)*Ze-Y268-AA268)*P268)/(P268+Ze)-AA268))</f>
        <v>-1.04429795165223e-8</v>
      </c>
      <c r="AE268" s="39">
        <f ca="1">IF(((R268-AA268)/P268-((Wfc-Wwp)*Ze-Z268)/Ze)/Wfc*DiffE&lt;0,MAX(((R268-AA268)/P268-((Wfc-Wwp)*Ze-Z268)/Ze)/Wfc*DiffE,(R268*Ze-((Wfc-Wwp)*Ze-Z268-AA268)*P268)/(P268+Ze)-AA268),MIN(((R268-AA268)/P268-((Wfc-Wwp)*Ze-Z268)/Ze)/Wfc*DiffE,(R268*Ze-((Wfc-Wwp)*Ze-Z268-AA268)*P268)/(P268+Ze)-AA268))</f>
        <v>-1.04429795165223e-8</v>
      </c>
      <c r="AF268" s="39">
        <f ca="1">IF(((S268-AB268)/Q268-(R268-AA268)/P268)/Wfc*DiffR&lt;0,MAX(((S268-AB268)/Q268-(R268-AA268)/P268)/Wfc*DiffR,(S268*P268-(R268-AA268-AB268)*Q268)/(P268+Q268)-AB268),MIN(((S268-AB268)/Q268-(R268-AA268)/P268)/Wfc*DiffR,(S268*P268-(R268-AA268-AB268)*Q268)/(P268+Q268)-AB268))</f>
        <v>5.54274244960665e-8</v>
      </c>
      <c r="AG268" s="99">
        <f ca="1">MIN(MAX(Y268+IF(AU268&gt;0,B268*AZ268/AU268,0)+BE268-AD268,0),TEW)</f>
        <v>2.82669484568983</v>
      </c>
      <c r="AH268" s="99">
        <f ca="1">MIN(MAX(Z268+IF(AV268&gt;0,B268*BA268/AV268,0)+BF268-AE268,0),TEW)</f>
        <v>2.82669484568983</v>
      </c>
      <c r="AI268" s="99">
        <f ca="1" t="shared" si="34"/>
        <v>14.5152736489701</v>
      </c>
      <c r="AJ268" s="99">
        <f ca="1" t="shared" si="35"/>
        <v>1.0786104889166e-6</v>
      </c>
      <c r="AK268" s="70">
        <f ca="1">IF((AU268+AV268)&gt;0,(TEW-(AG268*AU268+AH268*AV268)/(AU268+AV268))/TEW,(TEW-(AG268+AH268)/2)/TEW)</f>
        <v>0.914665815979175</v>
      </c>
      <c r="AL268" s="70">
        <f ca="1" t="shared" si="36"/>
        <v>0.812518154329189</v>
      </c>
      <c r="AM268" s="70">
        <f ca="1" t="shared" si="37"/>
        <v>0.999999547069236</v>
      </c>
      <c r="AN268" s="70">
        <f ca="1">Wwp+(Wfc-Wwp)*IF((AU268+AV268)&gt;0,(TEW-(AG268*AU268+AH268*AV268)/(AU268+AV268))/TEW,(TEW-(AG268+AH268)/2)/TEW)</f>
        <v>0.388906556077293</v>
      </c>
      <c r="AO268" s="70">
        <f ca="1">Wwp+(Wfc-Wwp)*(R268-AI268)/R268</f>
        <v>0.375627360062795</v>
      </c>
      <c r="AP268" s="70">
        <f ca="1">Wwp+(Wfc-Wwp)*(S268-AJ268)/S268</f>
        <v>0.399999941119001</v>
      </c>
      <c r="AQ268" s="70"/>
      <c r="AR268" s="70"/>
      <c r="AS268" s="70"/>
      <c r="AT268" s="70"/>
      <c r="AU268" s="70">
        <f ca="1">MIN((1-G268),fw)</f>
        <v>0</v>
      </c>
      <c r="AV268" s="70">
        <f ca="1" t="shared" si="38"/>
        <v>0</v>
      </c>
      <c r="AW268" s="70">
        <f ca="1">MIN((TEW-Y268)/(TEW-REW),1)</f>
        <v>0.118635849893504</v>
      </c>
      <c r="AX268" s="70">
        <f ca="1">MIN((TEW-Z268)/(TEW-REW),1)</f>
        <v>0.118635849893504</v>
      </c>
      <c r="AY268" s="70">
        <f ca="1">IF((AU268*(TEW-Y268))&gt;0,1/(1+((AV268*(TEW-Z268))/(AU268*(TEW-Y268)))),0)</f>
        <v>0</v>
      </c>
      <c r="AZ268" s="70">
        <f ca="1">MIN((AY268*AW268*(Kcmax-H268)),AU268*Kcmax)</f>
        <v>0</v>
      </c>
      <c r="BA268" s="70">
        <f ca="1">MIN(((1-AY268)*AX268*(Kcmax-H268)),AV268*Kcmax)</f>
        <v>0</v>
      </c>
      <c r="BB268" s="70">
        <f ca="1" t="shared" si="39"/>
        <v>0</v>
      </c>
      <c r="BC268" s="70">
        <f ca="1">MIN((R268-AA268)/(R268*(1-(p+0.04*(5-I267)))),1)</f>
        <v>1</v>
      </c>
      <c r="BD268" s="10">
        <f ca="1" t="shared" si="40"/>
        <v>1.3111848051086</v>
      </c>
      <c r="BE268" s="70">
        <f ca="1">MIN(IF((1-AA268/R268)&gt;0,(1-Y268/TEW)/(1-AA268/R268)*(Ze/P268)^0.6,0),1)*BC268*H268*B268</f>
        <v>0.577465604365388</v>
      </c>
      <c r="BF268" s="70">
        <f ca="1">MIN(IF((1-AA268/R268)&gt;0,(1-Z268/TEW)/(1-AA268/R268)*(Ze/P268)^0.6,0),1)*BC268*H268*B268</f>
        <v>0.577465604365388</v>
      </c>
      <c r="BH268" s="10">
        <f ca="1" t="shared" si="41"/>
        <v>0.00631862749187641</v>
      </c>
      <c r="BI268" s="10">
        <f ca="1">IF(F268&lt;&gt;"",(Moy_Etobs-F268)^2,"")</f>
        <v>0.0476103552479457</v>
      </c>
    </row>
    <row r="269" spans="1:61">
      <c r="A269" s="38">
        <v>39262</v>
      </c>
      <c r="B269" s="10">
        <v>3.561</v>
      </c>
      <c r="C269" s="39">
        <v>0</v>
      </c>
      <c r="D269" s="10">
        <v>0.319</v>
      </c>
      <c r="E269" s="39">
        <v>0</v>
      </c>
      <c r="F269" s="10">
        <v>1.1221884</v>
      </c>
      <c r="G269" s="10">
        <f ca="1">MIN(MAX(IF(AND(Durpla&gt;ROW()-MATCH(NDVImax,INDEX(D:D,Lig_min,1):INDEX(D:D,Lig_max,1),0)-Lig_min+1,ROW()-MATCH(NDVImax,INDEX(D:D,Lig_min,1):INDEX(D:D,Lig_max,1),0)-Lig_min+1&gt;0,D269*a_fc+b_fc&gt;fc_fin),NDVImax*a_fc+b_fc,D269*a_fc+b_fc),0),1)</f>
        <v>0.225333333333333</v>
      </c>
      <c r="H269" s="55">
        <f>MIN(MAX(D269*a_kcb+b_kcb,0),Kcmax)</f>
        <v>0.254017030051624</v>
      </c>
      <c r="I269" s="70">
        <f ca="1" t="shared" si="33"/>
        <v>1.27599424316439</v>
      </c>
      <c r="O269" s="55"/>
      <c r="P269" s="35">
        <f ca="1">IF(ROW()-MATCH(NDVImax,INDEX(D:D,Lig_min,1):INDEX(D:D,Lig_max,1),0)-Lig_min+1&gt;0,MAX(MIN(Zr_min+MAX(INDEX(G:G,Lig_min,1):INDEX(G:G,Lig_max,1))/MAX(MAX(INDEX(G:G,Lig_min,1):INDEX(G:G,Lig_max,1)),Max_fc_pour_Zrmax)*(Zr_max-Zr_min),Zr_max),Ze+0.001),MAX(MIN(Zr_min+G269/MAX(MAX(INDEX(G:G,Lig_min,1):INDEX(G:G,Lig_max,1)),Max_fc_pour_Zrmax)*(Zr_max-Zr_min),Zr_max),Ze+0.001))</f>
        <v>595.55606968994</v>
      </c>
      <c r="Q269" s="35">
        <f ca="1">IF(Z_sol&gt;0,Z_sol-P269,0.1)</f>
        <v>18.318481374494</v>
      </c>
      <c r="R269" s="35">
        <f ca="1">(Wfc-Wwp)*P269</f>
        <v>77.4222890596922</v>
      </c>
      <c r="S269" s="35">
        <f ca="1">(Wfc-Wwp)*Q269</f>
        <v>2.38140257868422</v>
      </c>
      <c r="T269" s="99">
        <f ca="1" t="shared" si="42"/>
        <v>2.82669484568983</v>
      </c>
      <c r="U269" s="99">
        <f ca="1" t="shared" si="43"/>
        <v>2.82669484568983</v>
      </c>
      <c r="V269" s="99">
        <f ca="1">IF(P269&gt;P268,IF(Q269&gt;1,MAX(AI268+(Wfc-Wwp)*(P269-P268)*AJ268/S268,0),AI268/P268*P269),MAX(AI268+(Wfc-Wwp)*(P269-P268)*AI268/R268,0))</f>
        <v>14.5152736489701</v>
      </c>
      <c r="W269" s="99">
        <f ca="1">IF(S269&gt;1,IF(P269&gt;P268,MAX(AJ268-(Wfc-Wwp)*(P269-P268)*AJ268/S268,0),MAX(AJ268-(Wfc-Wwp)*(P269-P268)*AI268/R268,0)),0)</f>
        <v>1.0786104889166e-6</v>
      </c>
      <c r="X269" s="99">
        <f ca="1">IF(AND(OR(AND(dec_vide_TAW&lt;0,V269&gt;R269*(p+0.04*(5-I268))),AND(dec_vide_TAW&gt;0,V269&gt;R269*dec_vide_TAW)),H269&gt;MAX(INDEX(H:H,Lig_min,1):INDEX(H:H,ROW(X269),1))*Kcbmax_stop_irrig*IF(ROW(X269)-lig_kcbmax&gt;0,1,0),MIN(INDEX(H:H,ROW(X269),1):INDEX(H:H,lig_kcbmax,1))&gt;Kcbmin_start_irrig),MIN(MAX(V269-E269*Irri_man-C269,0),Lame_max),0)</f>
        <v>0</v>
      </c>
      <c r="Y269" s="99">
        <f ca="1">MIN(MAX(T269-C269-IF(fw&gt;0,X269/fw*Irri_auto+E269/fw*Irri_man,0),0),TEW)</f>
        <v>2.82669484568983</v>
      </c>
      <c r="Z269" s="99">
        <f ca="1">MIN(MAX(U269-C269,0),TEW)</f>
        <v>2.82669484568983</v>
      </c>
      <c r="AA269" s="99">
        <f ca="1">MIN(MAX(V269-C269-(X269*Irri_auto+E269*Irri_man),0),R269)</f>
        <v>14.5152736489701</v>
      </c>
      <c r="AB269" s="99">
        <f ca="1">MIN(MAX(W269+MIN(V269-C269-(X269*Irri_auto+E269*Irri_man),0),0),S269)</f>
        <v>1.0786104889166e-6</v>
      </c>
      <c r="AC269" s="99">
        <f ca="1">-MIN(W269+MIN(V269-C269-(X269*Irri_auto+E269*Irri_man),0),0)</f>
        <v>0</v>
      </c>
      <c r="AD269" s="39">
        <f ca="1">IF(((R269-AA269)/P269-((Wfc-Wwp)*Ze-Y269)/Ze)/Wfc*DiffE&lt;0,MAX(((R269-AA269)/P269-((Wfc-Wwp)*Ze-Y269)/Ze)/Wfc*DiffE,(R269*Ze-((Wfc-Wwp)*Ze-Y269-AA269)*P269)/(P269+Ze)-AA269),MIN(((R269-AA269)/P269-((Wfc-Wwp)*Ze-Y269)/Ze)/Wfc*DiffE,(R269*Ze-((Wfc-Wwp)*Ze-Y269-AA269)*P269)/(P269+Ze)-AA269))</f>
        <v>-4.39770292921696e-9</v>
      </c>
      <c r="AE269" s="39">
        <f ca="1">IF(((R269-AA269)/P269-((Wfc-Wwp)*Ze-Z269)/Ze)/Wfc*DiffE&lt;0,MAX(((R269-AA269)/P269-((Wfc-Wwp)*Ze-Z269)/Ze)/Wfc*DiffE,(R269*Ze-((Wfc-Wwp)*Ze-Z269-AA269)*P269)/(P269+Ze)-AA269),MIN(((R269-AA269)/P269-((Wfc-Wwp)*Ze-Z269)/Ze)/Wfc*DiffE,(R269*Ze-((Wfc-Wwp)*Ze-Z269-AA269)*P269)/(P269+Ze)-AA269))</f>
        <v>-4.39770292921696e-9</v>
      </c>
      <c r="AF269" s="39">
        <f ca="1">IF(((S269-AB269)/Q269-(R269-AA269)/P269)/Wfc*DiffR&lt;0,MAX(((S269-AB269)/Q269-(R269-AA269)/P269)/Wfc*DiffR,(S269*P269-(R269-AA269-AB269)*Q269)/(P269+Q269)-AB269),MIN(((S269-AB269)/Q269-(R269-AA269)/P269)/Wfc*DiffR,(S269*P269-(R269-AA269-AB269)*Q269)/(P269+Q269)-AB269))</f>
        <v>6.09314526405154e-8</v>
      </c>
      <c r="AG269" s="99">
        <f ca="1">MIN(MAX(Y269+IF(AU269&gt;0,B269*AZ269/AU269,0)+BE269-AD269,0),TEW)</f>
        <v>3.70525488835308</v>
      </c>
      <c r="AH269" s="99">
        <f ca="1">MIN(MAX(Z269+IF(AV269&gt;0,B269*BA269/AV269,0)+BF269-AE269,0),TEW)</f>
        <v>3.22577175691949</v>
      </c>
      <c r="AI269" s="99">
        <f ca="1" t="shared" si="34"/>
        <v>15.7912678312031</v>
      </c>
      <c r="AJ269" s="99">
        <f ca="1" t="shared" si="35"/>
        <v>1.13954194155711e-6</v>
      </c>
      <c r="AK269" s="70">
        <f ca="1">IF((AU269+AV269)&gt;0,(TEW-(AG269*AU269+AH269*AV269)/(AU269+AV269))/TEW,(TEW-(AG269+AH269)/2)/TEW)</f>
        <v>0.888143248653492</v>
      </c>
      <c r="AL269" s="70">
        <f ca="1" t="shared" si="36"/>
        <v>0.796037187443165</v>
      </c>
      <c r="AM269" s="70">
        <f ca="1" t="shared" si="37"/>
        <v>0.999999521482864</v>
      </c>
      <c r="AN269" s="70">
        <f ca="1">Wwp+(Wfc-Wwp)*IF((AU269+AV269)&gt;0,(TEW-(AG269*AU269+AH269*AV269)/(AU269+AV269))/TEW,(TEW-(AG269+AH269)/2)/TEW)</f>
        <v>0.385458622324954</v>
      </c>
      <c r="AO269" s="70">
        <f ca="1">Wwp+(Wfc-Wwp)*(R269-AI269)/R269</f>
        <v>0.373484834367611</v>
      </c>
      <c r="AP269" s="70">
        <f ca="1">Wwp+(Wfc-Wwp)*(S269-AJ269)/S269</f>
        <v>0.399999937792772</v>
      </c>
      <c r="AQ269" s="70"/>
      <c r="AR269" s="70"/>
      <c r="AS269" s="70"/>
      <c r="AT269" s="70"/>
      <c r="AU269" s="70">
        <f ca="1">MIN((1-G269),fw)</f>
        <v>0.774666666666667</v>
      </c>
      <c r="AV269" s="70">
        <f ca="1" t="shared" si="38"/>
        <v>0</v>
      </c>
      <c r="AW269" s="70">
        <f ca="1">MIN((TEW-Y269)/(TEW-REW),1)</f>
        <v>0.116417018677618</v>
      </c>
      <c r="AX269" s="70">
        <f ca="1">MIN((TEW-Z269)/(TEW-REW),1)</f>
        <v>0.116417018677618</v>
      </c>
      <c r="AY269" s="70">
        <f ca="1">IF((AU269*(TEW-Y269))&gt;0,1/(1+((AV269*(TEW-Z269))/(AU269*(TEW-Y269)))),0)</f>
        <v>1</v>
      </c>
      <c r="AZ269" s="70">
        <f ca="1">MIN((AY269*AW269*(Kcmax-H269)),AU269*Kcmax)</f>
        <v>0.104307666147307</v>
      </c>
      <c r="BA269" s="70">
        <f ca="1">MIN(((1-AY269)*AX269*(Kcmax-H269)),AV269*Kcmax)</f>
        <v>0</v>
      </c>
      <c r="BB269" s="70">
        <f ca="1" t="shared" si="39"/>
        <v>0.371439599150562</v>
      </c>
      <c r="BC269" s="70">
        <f ca="1">MIN((R269-AA269)/(R269*(1-(p+0.04*(5-I268)))),1)</f>
        <v>1</v>
      </c>
      <c r="BD269" s="10">
        <f ca="1" t="shared" si="40"/>
        <v>0.904554644013833</v>
      </c>
      <c r="BE269" s="70">
        <f ca="1">MIN(IF((1-AA269/R269)&gt;0,(1-Y269/TEW)/(1-AA269/R269)*(Ze/P269)^0.6,0),1)*BC269*H269*B269</f>
        <v>0.399076906831948</v>
      </c>
      <c r="BF269" s="70">
        <f ca="1">MIN(IF((1-AA269/R269)&gt;0,(1-Z269/TEW)/(1-AA269/R269)*(Ze/P269)^0.6,0),1)*BC269*H269*B269</f>
        <v>0.399076906831948</v>
      </c>
      <c r="BH269" s="10">
        <f ca="1" t="shared" si="41"/>
        <v>0.0236562373915103</v>
      </c>
      <c r="BI269" s="10">
        <f ca="1">IF(F269&lt;&gt;"",(Moy_Etobs-F269)^2,"")</f>
        <v>0.236861483862013</v>
      </c>
    </row>
    <row r="270" spans="1:61">
      <c r="A270" s="38">
        <v>39263</v>
      </c>
      <c r="B270" s="10">
        <v>5.745</v>
      </c>
      <c r="C270" s="39">
        <v>0</v>
      </c>
      <c r="D270" s="10">
        <v>0.303</v>
      </c>
      <c r="E270" s="39">
        <v>0</v>
      </c>
      <c r="F270" s="10">
        <v>1.240785</v>
      </c>
      <c r="G270" s="10">
        <f ca="1">MIN(MAX(IF(AND(Durpla&gt;ROW()-MATCH(NDVImax,INDEX(D:D,Lig_min,1):INDEX(D:D,Lig_max,1),0)-Lig_min+1,ROW()-MATCH(NDVImax,INDEX(D:D,Lig_min,1):INDEX(D:D,Lig_max,1),0)-Lig_min+1&gt;0,D270*a_fc+b_fc&gt;fc_fin),NDVImax*a_fc+b_fc,D270*a_fc+b_fc),0),1)</f>
        <v>0.204</v>
      </c>
      <c r="H270" s="55">
        <f>MIN(MAX(D270*a_kcb+b_kcb,0),Kcmax)</f>
        <v>0.229968080460938</v>
      </c>
      <c r="I270" s="70">
        <f ca="1" t="shared" si="33"/>
        <v>1.91865570135872</v>
      </c>
      <c r="O270" s="55"/>
      <c r="P270" s="35">
        <f ca="1">IF(ROW()-MATCH(NDVImax,INDEX(D:D,Lig_min,1):INDEX(D:D,Lig_max,1),0)-Lig_min+1&gt;0,MAX(MIN(Zr_min+MAX(INDEX(G:G,Lig_min,1):INDEX(G:G,Lig_max,1))/MAX(MAX(INDEX(G:G,Lig_min,1):INDEX(G:G,Lig_max,1)),Max_fc_pour_Zrmax)*(Zr_max-Zr_min),Zr_max),Ze+0.001),MAX(MIN(Zr_min+G270/MAX(MAX(INDEX(G:G,Lig_min,1):INDEX(G:G,Lig_max,1)),Max_fc_pour_Zrmax)*(Zr_max-Zr_min),Zr_max),Ze+0.001))</f>
        <v>595.55606968994</v>
      </c>
      <c r="Q270" s="35">
        <f ca="1">IF(Z_sol&gt;0,Z_sol-P270,0.1)</f>
        <v>18.318481374494</v>
      </c>
      <c r="R270" s="35">
        <f ca="1">(Wfc-Wwp)*P270</f>
        <v>77.4222890596922</v>
      </c>
      <c r="S270" s="35">
        <f ca="1">(Wfc-Wwp)*Q270</f>
        <v>2.38140257868422</v>
      </c>
      <c r="T270" s="99">
        <f ca="1" t="shared" si="42"/>
        <v>3.70525488835308</v>
      </c>
      <c r="U270" s="99">
        <f ca="1" t="shared" si="43"/>
        <v>3.22577175691949</v>
      </c>
      <c r="V270" s="99">
        <f ca="1">IF(P270&gt;P269,IF(Q270&gt;1,MAX(AI269+(Wfc-Wwp)*(P270-P269)*AJ269/S269,0),AI269/P269*P270),MAX(AI269+(Wfc-Wwp)*(P270-P269)*AI269/R269,0))</f>
        <v>15.7912678312031</v>
      </c>
      <c r="W270" s="99">
        <f ca="1">IF(S270&gt;1,IF(P270&gt;P269,MAX(AJ269-(Wfc-Wwp)*(P270-P269)*AJ269/S269,0),MAX(AJ269-(Wfc-Wwp)*(P270-P269)*AI269/R269,0)),0)</f>
        <v>1.13954194155711e-6</v>
      </c>
      <c r="X270" s="99">
        <f ca="1">IF(AND(OR(AND(dec_vide_TAW&lt;0,V270&gt;R270*(p+0.04*(5-I269))),AND(dec_vide_TAW&gt;0,V270&gt;R270*dec_vide_TAW)),H270&gt;MAX(INDEX(H:H,Lig_min,1):INDEX(H:H,ROW(X270),1))*Kcbmax_stop_irrig*IF(ROW(X270)-lig_kcbmax&gt;0,1,0),MIN(INDEX(H:H,ROW(X270),1):INDEX(H:H,lig_kcbmax,1))&gt;Kcbmin_start_irrig),MIN(MAX(V270-E270*Irri_man-C270,0),Lame_max),0)</f>
        <v>0</v>
      </c>
      <c r="Y270" s="99">
        <f ca="1">MIN(MAX(T270-C270-IF(fw&gt;0,X270/fw*Irri_auto+E270/fw*Irri_man,0),0),TEW)</f>
        <v>3.70525488835308</v>
      </c>
      <c r="Z270" s="99">
        <f ca="1">MIN(MAX(U270-C270,0),TEW)</f>
        <v>3.22577175691949</v>
      </c>
      <c r="AA270" s="99">
        <f ca="1">MIN(MAX(V270-C270-(X270*Irri_auto+E270*Irri_man),0),R270)</f>
        <v>15.7912678312031</v>
      </c>
      <c r="AB270" s="99">
        <f ca="1">MIN(MAX(W270+MIN(V270-C270-(X270*Irri_auto+E270*Irri_man),0),0),S270)</f>
        <v>1.13954194155711e-6</v>
      </c>
      <c r="AC270" s="99">
        <f ca="1">-MIN(W270+MIN(V270-C270-(X270*Irri_auto+E270*Irri_man),0),0)</f>
        <v>0</v>
      </c>
      <c r="AD270" s="39">
        <f ca="1">IF(((R270-AA270)/P270-((Wfc-Wwp)*Ze-Y270)/Ze)/Wfc*DiffE&lt;0,MAX(((R270-AA270)/P270-((Wfc-Wwp)*Ze-Y270)/Ze)/Wfc*DiffE,(R270*Ze-((Wfc-Wwp)*Ze-Y270-AA270)*P270)/(P270+Ze)-AA270),MIN(((R270-AA270)/P270-((Wfc-Wwp)*Ze-Y270)/Ze)/Wfc*DiffE,(R270*Ze-((Wfc-Wwp)*Ze-Y270-AA270)*P270)/(P270+Ze)-AA270))</f>
        <v>7.81718368609033e-9</v>
      </c>
      <c r="AE270" s="39">
        <f ca="1">IF(((R270-AA270)/P270-((Wfc-Wwp)*Ze-Z270)/Ze)/Wfc*DiffE&lt;0,MAX(((R270-AA270)/P270-((Wfc-Wwp)*Ze-Z270)/Ze)/Wfc*DiffE,(R270*Ze-((Wfc-Wwp)*Ze-Z270-AA270)*P270)/(P270+Ze)-AA270),MIN(((R270-AA270)/P270-((Wfc-Wwp)*Ze-Z270)/Ze)/Wfc*DiffE,(R270*Ze-((Wfc-Wwp)*Ze-Z270-AA270)*P270)/(P270+Ze)-AA270))</f>
        <v>-1.77247894258166e-9</v>
      </c>
      <c r="AF270" s="39">
        <f ca="1">IF(((S270-AB270)/Q270-(R270-AA270)/P270)/Wfc*DiffR&lt;0,MAX(((S270-AB270)/Q270-(R270-AA270)/P270)/Wfc*DiffR,(S270*P270-(R270-AA270-AB270)*Q270)/(P270+Q270)-AB270),MIN(((S270-AB270)/Q270-(R270-AA270)/P270)/Wfc*DiffR,(S270*P270-(R270-AA270-AB270)*Q270)/(P270+Q270)-AB270))</f>
        <v>6.62877585629022e-8</v>
      </c>
      <c r="AG270" s="99">
        <f ca="1">MIN(MAX(Y270+IF(AU270&gt;0,B270*AZ270/AU270,0)+BE270-AD270,0),TEW)</f>
        <v>5.03356571342317</v>
      </c>
      <c r="AH270" s="99">
        <f ca="1">MIN(MAX(Z270+IF(AV270&gt;0,B270*BA270/AV270,0)+BF270-AE270,0),TEW)</f>
        <v>3.81288346917343</v>
      </c>
      <c r="AI270" s="99">
        <f ca="1" t="shared" si="34"/>
        <v>17.7099234662741</v>
      </c>
      <c r="AJ270" s="99">
        <f ca="1" t="shared" si="35"/>
        <v>1.20582970012002e-6</v>
      </c>
      <c r="AK270" s="70">
        <f ca="1">IF((AU270+AV270)&gt;0,(TEW-(AG270*AU270+AH270*AV270)/(AU270+AV270))/TEW,(TEW-(AG270+AH270)/2)/TEW)</f>
        <v>0.848043299217414</v>
      </c>
      <c r="AL270" s="70">
        <f ca="1" t="shared" si="36"/>
        <v>0.771255491391894</v>
      </c>
      <c r="AM270" s="70">
        <f ca="1" t="shared" si="37"/>
        <v>0.999999493647269</v>
      </c>
      <c r="AN270" s="70">
        <f ca="1">Wwp+(Wfc-Wwp)*IF((AU270+AV270)&gt;0,(TEW-(AG270*AU270+AH270*AV270)/(AU270+AV270))/TEW,(TEW-(AG270+AH270)/2)/TEW)</f>
        <v>0.380245628898264</v>
      </c>
      <c r="AO270" s="70">
        <f ca="1">Wwp+(Wfc-Wwp)*(R270-AI270)/R270</f>
        <v>0.370263213880946</v>
      </c>
      <c r="AP270" s="70">
        <f ca="1">Wwp+(Wfc-Wwp)*(S270-AJ270)/S270</f>
        <v>0.399999934174145</v>
      </c>
      <c r="AQ270" s="70"/>
      <c r="AR270" s="70"/>
      <c r="AS270" s="70"/>
      <c r="AT270" s="70"/>
      <c r="AU270" s="70">
        <f ca="1">MIN((1-G270),fw)</f>
        <v>0.796</v>
      </c>
      <c r="AV270" s="70">
        <f ca="1" t="shared" si="38"/>
        <v>0</v>
      </c>
      <c r="AW270" s="70">
        <f ca="1">MIN((TEW-Y270)/(TEW-REW),1)</f>
        <v>0.113041274048496</v>
      </c>
      <c r="AX270" s="70">
        <f ca="1">MIN((TEW-Z270)/(TEW-REW),1)</f>
        <v>0.114883621215555</v>
      </c>
      <c r="AY270" s="70">
        <f ca="1">IF((AU270*(TEW-Y270))&gt;0,1/(1+((AV270*(TEW-Z270))/(AU270*(TEW-Y270)))),0)</f>
        <v>1</v>
      </c>
      <c r="AZ270" s="70">
        <f ca="1">MIN((AY270*AW270*(Kcmax-H270)),AU270*Kcmax)</f>
        <v>0.104001580349979</v>
      </c>
      <c r="BA270" s="70">
        <f ca="1">MIN(((1-AY270)*AX270*(Kcmax-H270)),AV270*Kcmax)</f>
        <v>0</v>
      </c>
      <c r="BB270" s="70">
        <f ca="1" t="shared" si="39"/>
        <v>0.597489079110632</v>
      </c>
      <c r="BC270" s="70">
        <f ca="1">MIN((R270-AA270)/(R270*(1-(p+0.04*(5-I269)))),1)</f>
        <v>1</v>
      </c>
      <c r="BD270" s="10">
        <f ca="1" t="shared" si="40"/>
        <v>1.32116662224809</v>
      </c>
      <c r="BE270" s="70">
        <f ca="1">MIN(IF((1-AA270/R270)&gt;0,(1-Y270/TEW)/(1-AA270/R270)*(Ze/P270)^0.6,0),1)*BC270*H270*B270</f>
        <v>0.577696411894017</v>
      </c>
      <c r="BF270" s="70">
        <f ca="1">MIN(IF((1-AA270/R270)&gt;0,(1-Z270/TEW)/(1-AA270/R270)*(Ze/P270)^0.6,0),1)*BC270*H270*B270</f>
        <v>0.587111710481469</v>
      </c>
      <c r="BH270" s="10">
        <f ca="1" t="shared" si="41"/>
        <v>0.459508687760561</v>
      </c>
      <c r="BI270" s="10">
        <f ca="1">IF(F270&lt;&gt;"",(Moy_Etobs-F270)^2,"")</f>
        <v>0.135488461104577</v>
      </c>
    </row>
    <row r="271" spans="1:61">
      <c r="A271" s="38">
        <v>39264</v>
      </c>
      <c r="B271" s="10">
        <v>1.63</v>
      </c>
      <c r="C271" s="39">
        <v>0.396</v>
      </c>
      <c r="D271" s="10">
        <v>0.308</v>
      </c>
      <c r="E271" s="39">
        <v>0</v>
      </c>
      <c r="F271" s="10">
        <v>0.5637528</v>
      </c>
      <c r="G271" s="10">
        <f ca="1">MIN(MAX(IF(AND(Durpla&gt;ROW()-MATCH(NDVImax,INDEX(D:D,Lig_min,1):INDEX(D:D,Lig_max,1),0)-Lig_min+1,ROW()-MATCH(NDVImax,INDEX(D:D,Lig_min,1):INDEX(D:D,Lig_max,1),0)-Lig_min+1&gt;0,D271*a_fc+b_fc&gt;fc_fin),NDVImax*a_fc+b_fc,D271*a_fc+b_fc),0),1)</f>
        <v>0.210666666666667</v>
      </c>
      <c r="H271" s="55">
        <f>MIN(MAX(D271*a_kcb+b_kcb,0),Kcmax)</f>
        <v>0.237483377208027</v>
      </c>
      <c r="I271" s="70">
        <f ca="1" t="shared" ref="I271:I285" si="44">MIN(BB271+BD271,R271-AA271)</f>
        <v>0.549907450071955</v>
      </c>
      <c r="O271" s="55"/>
      <c r="P271" s="35">
        <f ca="1">IF(ROW()-MATCH(NDVImax,INDEX(D:D,Lig_min,1):INDEX(D:D,Lig_max,1),0)-Lig_min+1&gt;0,MAX(MIN(Zr_min+MAX(INDEX(G:G,Lig_min,1):INDEX(G:G,Lig_max,1))/MAX(MAX(INDEX(G:G,Lig_min,1):INDEX(G:G,Lig_max,1)),Max_fc_pour_Zrmax)*(Zr_max-Zr_min),Zr_max),Ze+0.001),MAX(MIN(Zr_min+G271/MAX(MAX(INDEX(G:G,Lig_min,1):INDEX(G:G,Lig_max,1)),Max_fc_pour_Zrmax)*(Zr_max-Zr_min),Zr_max),Ze+0.001))</f>
        <v>595.55606968994</v>
      </c>
      <c r="Q271" s="35">
        <f ca="1">IF(Z_sol&gt;0,Z_sol-P271,0.1)</f>
        <v>18.318481374494</v>
      </c>
      <c r="R271" s="35">
        <f ca="1">(Wfc-Wwp)*P271</f>
        <v>77.4222890596922</v>
      </c>
      <c r="S271" s="35">
        <f ca="1">(Wfc-Wwp)*Q271</f>
        <v>2.38140257868422</v>
      </c>
      <c r="T271" s="99">
        <f ca="1" t="shared" si="42"/>
        <v>5.03356571342317</v>
      </c>
      <c r="U271" s="99">
        <f ca="1" t="shared" si="43"/>
        <v>3.81288346917343</v>
      </c>
      <c r="V271" s="99">
        <f ca="1">IF(P271&gt;P270,IF(Q271&gt;1,MAX(AI270+(Wfc-Wwp)*(P271-P270)*AJ270/S270,0),AI270/P270*P271),MAX(AI270+(Wfc-Wwp)*(P271-P270)*AI270/R270,0))</f>
        <v>17.7099234662741</v>
      </c>
      <c r="W271" s="99">
        <f ca="1">IF(S271&gt;1,IF(P271&gt;P270,MAX(AJ270-(Wfc-Wwp)*(P271-P270)*AJ270/S270,0),MAX(AJ270-(Wfc-Wwp)*(P271-P270)*AI270/R270,0)),0)</f>
        <v>1.20582970012002e-6</v>
      </c>
      <c r="X271" s="99">
        <f ca="1">IF(AND(OR(AND(dec_vide_TAW&lt;0,V271&gt;R271*(p+0.04*(5-I270))),AND(dec_vide_TAW&gt;0,V271&gt;R271*dec_vide_TAW)),H271&gt;MAX(INDEX(H:H,Lig_min,1):INDEX(H:H,ROW(X271),1))*Kcbmax_stop_irrig*IF(ROW(X271)-lig_kcbmax&gt;0,1,0),MIN(INDEX(H:H,ROW(X271),1):INDEX(H:H,lig_kcbmax,1))&gt;Kcbmin_start_irrig),MIN(MAX(V271-E271*Irri_man-C271,0),Lame_max),0)</f>
        <v>0</v>
      </c>
      <c r="Y271" s="99">
        <f ca="1">MIN(MAX(T271-C271-IF(fw&gt;0,X271/fw*Irri_auto+E271/fw*Irri_man,0),0),TEW)</f>
        <v>4.63756571342317</v>
      </c>
      <c r="Z271" s="99">
        <f ca="1">MIN(MAX(U271-C271,0),TEW)</f>
        <v>3.41688346917343</v>
      </c>
      <c r="AA271" s="99">
        <f ca="1">MIN(MAX(V271-C271-(X271*Irri_auto+E271*Irri_man),0),R271)</f>
        <v>17.3139234662741</v>
      </c>
      <c r="AB271" s="99">
        <f ca="1">MIN(MAX(W271+MIN(V271-C271-(X271*Irri_auto+E271*Irri_man),0),0),S271)</f>
        <v>1.20582970012002e-6</v>
      </c>
      <c r="AC271" s="99">
        <f ca="1">-MIN(W271+MIN(V271-C271-(X271*Irri_auto+E271*Irri_man),0),0)</f>
        <v>0</v>
      </c>
      <c r="AD271" s="39">
        <f ca="1">IF(((R271-AA271)/P271-((Wfc-Wwp)*Ze-Y271)/Ze)/Wfc*DiffE&lt;0,MAX(((R271-AA271)/P271-((Wfc-Wwp)*Ze-Y271)/Ze)/Wfc*DiffE,(R271*Ze-((Wfc-Wwp)*Ze-Y271-AA271)*P271)/(P271+Ze)-AA271),MIN(((R271-AA271)/P271-((Wfc-Wwp)*Ze-Y271)/Ze)/Wfc*DiffE,(R271*Ze-((Wfc-Wwp)*Ze-Y271-AA271)*P271)/(P271+Ze)-AA271))</f>
        <v>2.00716609686152e-8</v>
      </c>
      <c r="AE271" s="39">
        <f ca="1">IF(((R271-AA271)/P271-((Wfc-Wwp)*Ze-Z271)/Ze)/Wfc*DiffE&lt;0,MAX(((R271-AA271)/P271-((Wfc-Wwp)*Ze-Z271)/Ze)/Wfc*DiffE,(R271*Ze-((Wfc-Wwp)*Ze-Z271-AA271)*P271)/(P271+Ze)-AA271),MIN(((R271-AA271)/P271-((Wfc-Wwp)*Ze-Z271)/Ze)/Wfc*DiffE,(R271*Ze-((Wfc-Wwp)*Ze-Z271-AA271)*P271)/(P271+Ze)-AA271))</f>
        <v>-4.34198391637958e-9</v>
      </c>
      <c r="AF271" s="39">
        <f ca="1">IF(((S271-AB271)/Q271-(R271-AA271)/P271)/Wfc*DiffR&lt;0,MAX(((S271-AB271)/Q271-(R271-AA271)/P271)/Wfc*DiffR,(S271*P271-(R271-AA271-AB271)*Q271)/(P271+Q271)-AB271),MIN(((S271-AB271)/Q271-(R271-AA271)/P271)/Wfc*DiffR,(S271*P271-(R271-AA271-AB271)*Q271)/(P271+Q271)-AB271))</f>
        <v>7.26794887352106e-8</v>
      </c>
      <c r="AG271" s="99">
        <f ca="1">MIN(MAX(Y271+IF(AU271&gt;0,B271*AZ271/AU271,0)+BE271-AD271,0),TEW)</f>
        <v>5.01187904614823</v>
      </c>
      <c r="AH271" s="99">
        <f ca="1">MIN(MAX(Z271+IF(AV271&gt;0,B271*BA271/AV271,0)+BF271-AE271,0),TEW)</f>
        <v>3.59213570458465</v>
      </c>
      <c r="AI271" s="99">
        <f ca="1" t="shared" ref="AI271:AI285" si="45">MIN(MAX(AA271+I271-AF271,0),R271)</f>
        <v>17.8638308436665</v>
      </c>
      <c r="AJ271" s="99">
        <f ca="1" t="shared" ref="AJ271:AJ285" si="46">MIN(MAX(AB271+AF271,0),S271)</f>
        <v>1.27850918885523e-6</v>
      </c>
      <c r="AK271" s="70">
        <f ca="1">IF((AU271+AV271)&gt;0,(TEW-(AG271*AU271+AH271*AV271)/(AU271+AV271))/TEW,(TEW-(AG271+AH271)/2)/TEW)</f>
        <v>0.848697991059676</v>
      </c>
      <c r="AL271" s="70">
        <f ca="1" t="shared" ref="AL271:AL285" si="47">(R271-AI271)/R271</f>
        <v>0.769267596442497</v>
      </c>
      <c r="AM271" s="70">
        <f ca="1" t="shared" ref="AM271:AM285" si="48">(S271-AJ271)/S271</f>
        <v>0.999999463127654</v>
      </c>
      <c r="AN271" s="70">
        <f ca="1">Wwp+(Wfc-Wwp)*IF((AU271+AV271)&gt;0,(TEW-(AG271*AU271+AH271*AV271)/(AU271+AV271))/TEW,(TEW-(AG271+AH271)/2)/TEW)</f>
        <v>0.380330738837758</v>
      </c>
      <c r="AO271" s="70">
        <f ca="1">Wwp+(Wfc-Wwp)*(R271-AI271)/R271</f>
        <v>0.370004787537525</v>
      </c>
      <c r="AP271" s="70">
        <f ca="1">Wwp+(Wfc-Wwp)*(S271-AJ271)/S271</f>
        <v>0.399999930206595</v>
      </c>
      <c r="AQ271" s="70"/>
      <c r="AR271" s="70"/>
      <c r="AS271" s="70"/>
      <c r="AT271" s="70"/>
      <c r="AU271" s="70">
        <f ca="1">MIN((1-G271),fw)</f>
        <v>0.789333333333333</v>
      </c>
      <c r="AV271" s="70">
        <f ca="1" t="shared" ref="AV271:AV285" si="49">1-G271-AU271</f>
        <v>0</v>
      </c>
      <c r="AW271" s="70">
        <f ca="1">MIN((TEW-Y271)/(TEW-REW),1)</f>
        <v>0.109458999522488</v>
      </c>
      <c r="AX271" s="70">
        <f ca="1">MIN((TEW-Z271)/(TEW-REW),1)</f>
        <v>0.114149301072508</v>
      </c>
      <c r="AY271" s="70">
        <f ca="1">IF((AU271*(TEW-Y271))&gt;0,1/(1+((AV271*(TEW-Z271))/(AU271*(TEW-Y271)))),0)</f>
        <v>1</v>
      </c>
      <c r="AZ271" s="70">
        <f ca="1">MIN((AY271*AW271*(Kcmax-H271)),AU271*Kcmax)</f>
        <v>0.0998831565784485</v>
      </c>
      <c r="BA271" s="70">
        <f ca="1">MIN(((1-AY271)*AX271*(Kcmax-H271)),AV271*Kcmax)</f>
        <v>0</v>
      </c>
      <c r="BB271" s="70">
        <f ca="1" t="shared" ref="BB271:BB285" si="50">B271*(AZ271+BA271)*IF($M$11=1,1-G271,1)</f>
        <v>0.162809545222871</v>
      </c>
      <c r="BC271" s="70">
        <f ca="1">MIN((R271-AA271)/(R271*(1-(p+0.04*(5-I270)))),1)</f>
        <v>1</v>
      </c>
      <c r="BD271" s="10">
        <f ca="1" t="shared" ref="BD271:BD285" si="51">B271*(H271*BC271)</f>
        <v>0.387097904849084</v>
      </c>
      <c r="BE271" s="70">
        <f ca="1">MIN(IF((1-AA271/R271)&gt;0,(1-Y271/TEW)/(1-AA271/R271)*(Ze/P271)^0.6,0),1)*BC271*H271*B271</f>
        <v>0.16805126003125</v>
      </c>
      <c r="BF271" s="70">
        <f ca="1">MIN(IF((1-AA271/R271)&gt;0,(1-Z271/TEW)/(1-AA271/R271)*(Ze/P271)^0.6,0),1)*BC271*H271*B271</f>
        <v>0.175252231069228</v>
      </c>
      <c r="BH271" s="10">
        <f ca="1" t="shared" ref="BH271:BH285" si="52">IF(F271&lt;&gt;"",(F271-I271)^2,"")</f>
        <v>0.000191693714630009</v>
      </c>
      <c r="BI271" s="10">
        <f ca="1">IF(F271&lt;&gt;"",(Moy_Etobs-F271)^2,"")</f>
        <v>1.0922753390852</v>
      </c>
    </row>
    <row r="272" spans="1:61">
      <c r="A272" s="38">
        <v>39265</v>
      </c>
      <c r="B272" s="10">
        <v>3.487</v>
      </c>
      <c r="C272" s="39">
        <v>0</v>
      </c>
      <c r="D272" s="10">
        <v>0.312</v>
      </c>
      <c r="E272" s="39">
        <v>0</v>
      </c>
      <c r="F272" s="10">
        <v>1.139571</v>
      </c>
      <c r="G272" s="10">
        <f ca="1">MIN(MAX(IF(AND(Durpla&gt;ROW()-MATCH(NDVImax,INDEX(D:D,Lig_min,1):INDEX(D:D,Lig_max,1),0)-Lig_min+1,ROW()-MATCH(NDVImax,INDEX(D:D,Lig_min,1):INDEX(D:D,Lig_max,1),0)-Lig_min+1&gt;0,D272*a_fc+b_fc&gt;fc_fin),NDVImax*a_fc+b_fc,D272*a_fc+b_fc),0),1)</f>
        <v>0.216</v>
      </c>
      <c r="H272" s="55">
        <f>MIN(MAX(D272*a_kcb+b_kcb,0),Kcmax)</f>
        <v>0.243495614605699</v>
      </c>
      <c r="I272" s="70">
        <f ca="1" t="shared" si="44"/>
        <v>1.19052073241998</v>
      </c>
      <c r="O272" s="55"/>
      <c r="P272" s="35">
        <f ca="1">IF(ROW()-MATCH(NDVImax,INDEX(D:D,Lig_min,1):INDEX(D:D,Lig_max,1),0)-Lig_min+1&gt;0,MAX(MIN(Zr_min+MAX(INDEX(G:G,Lig_min,1):INDEX(G:G,Lig_max,1))/MAX(MAX(INDEX(G:G,Lig_min,1):INDEX(G:G,Lig_max,1)),Max_fc_pour_Zrmax)*(Zr_max-Zr_min),Zr_max),Ze+0.001),MAX(MIN(Zr_min+G272/MAX(MAX(INDEX(G:G,Lig_min,1):INDEX(G:G,Lig_max,1)),Max_fc_pour_Zrmax)*(Zr_max-Zr_min),Zr_max),Ze+0.001))</f>
        <v>595.55606968994</v>
      </c>
      <c r="Q272" s="35">
        <f ca="1">IF(Z_sol&gt;0,Z_sol-P272,0.1)</f>
        <v>18.318481374494</v>
      </c>
      <c r="R272" s="35">
        <f ca="1">(Wfc-Wwp)*P272</f>
        <v>77.4222890596922</v>
      </c>
      <c r="S272" s="35">
        <f ca="1">(Wfc-Wwp)*Q272</f>
        <v>2.38140257868422</v>
      </c>
      <c r="T272" s="99">
        <f ca="1" t="shared" ref="T272:T285" si="53">AG271</f>
        <v>5.01187904614823</v>
      </c>
      <c r="U272" s="99">
        <f ca="1" t="shared" ref="U272:U285" si="54">AH271</f>
        <v>3.59213570458465</v>
      </c>
      <c r="V272" s="99">
        <f ca="1">IF(P272&gt;P271,IF(Q272&gt;1,MAX(AI271+(Wfc-Wwp)*(P272-P271)*AJ271/S271,0),AI271/P271*P272),MAX(AI271+(Wfc-Wwp)*(P272-P271)*AI271/R271,0))</f>
        <v>17.8638308436665</v>
      </c>
      <c r="W272" s="99">
        <f ca="1">IF(S272&gt;1,IF(P272&gt;P271,MAX(AJ271-(Wfc-Wwp)*(P272-P271)*AJ271/S271,0),MAX(AJ271-(Wfc-Wwp)*(P272-P271)*AI271/R271,0)),0)</f>
        <v>1.27850918885523e-6</v>
      </c>
      <c r="X272" s="99">
        <f ca="1">IF(AND(OR(AND(dec_vide_TAW&lt;0,V272&gt;R272*(p+0.04*(5-I271))),AND(dec_vide_TAW&gt;0,V272&gt;R272*dec_vide_TAW)),H272&gt;MAX(INDEX(H:H,Lig_min,1):INDEX(H:H,ROW(X272),1))*Kcbmax_stop_irrig*IF(ROW(X272)-lig_kcbmax&gt;0,1,0),MIN(INDEX(H:H,ROW(X272),1):INDEX(H:H,lig_kcbmax,1))&gt;Kcbmin_start_irrig),MIN(MAX(V272-E272*Irri_man-C272,0),Lame_max),0)</f>
        <v>0</v>
      </c>
      <c r="Y272" s="99">
        <f ca="1">MIN(MAX(T272-C272-IF(fw&gt;0,X272/fw*Irri_auto+E272/fw*Irri_man,0),0),TEW)</f>
        <v>5.01187904614823</v>
      </c>
      <c r="Z272" s="99">
        <f ca="1">MIN(MAX(U272-C272,0),TEW)</f>
        <v>3.59213570458465</v>
      </c>
      <c r="AA272" s="99">
        <f ca="1">MIN(MAX(V272-C272-(X272*Irri_auto+E272*Irri_man),0),R272)</f>
        <v>17.8638308436665</v>
      </c>
      <c r="AB272" s="99">
        <f ca="1">MIN(MAX(W272+MIN(V272-C272-(X272*Irri_auto+E272*Irri_man),0),0),S272)</f>
        <v>1.27850918885523e-6</v>
      </c>
      <c r="AC272" s="99">
        <f ca="1">-MIN(W272+MIN(V272-C272-(X272*Irri_auto+E272*Irri_man),0),0)</f>
        <v>0</v>
      </c>
      <c r="AD272" s="39">
        <f ca="1">IF(((R272-AA272)/P272-((Wfc-Wwp)*Ze-Y272)/Ze)/Wfc*DiffE&lt;0,MAX(((R272-AA272)/P272-((Wfc-Wwp)*Ze-Y272)/Ze)/Wfc*DiffE,(R272*Ze-((Wfc-Wwp)*Ze-Y272-AA272)*P272)/(P272+Ze)-AA272),MIN(((R272-AA272)/P272-((Wfc-Wwp)*Ze-Y272)/Ze)/Wfc*DiffE,(R272*Ze-((Wfc-Wwp)*Ze-Y272-AA272)*P272)/(P272+Ze)-AA272))</f>
        <v>2.52495497667762e-8</v>
      </c>
      <c r="AE272" s="39">
        <f ca="1">IF(((R272-AA272)/P272-((Wfc-Wwp)*Ze-Z272)/Ze)/Wfc*DiffE&lt;0,MAX(((R272-AA272)/P272-((Wfc-Wwp)*Ze-Z272)/Ze)/Wfc*DiffE,(R272*Ze-((Wfc-Wwp)*Ze-Z272-AA272)*P272)/(P272+Ze)-AA272),MIN(((R272-AA272)/P272-((Wfc-Wwp)*Ze-Z272)/Ze)/Wfc*DiffE,(R272*Ze-((Wfc-Wwp)*Ze-Z272-AA272)*P272)/(P272+Ze)-AA272))</f>
        <v>-3.14531706449545e-9</v>
      </c>
      <c r="AF272" s="39">
        <f ca="1">IF(((S272-AB272)/Q272-(R272-AA272)/P272)/Wfc*DiffR&lt;0,MAX(((S272-AB272)/Q272-(R272-AA272)/P272)/Wfc*DiffR,(S272*P272-(R272-AA272-AB272)*Q272)/(P272+Q272)-AB272),MIN(((S272-AB272)/Q272-(R272-AA272)/P272)/Wfc*DiffR,(S272*P272-(R272-AA272-AB272)*Q272)/(P272+Q272)-AB272))</f>
        <v>7.4987856672676e-8</v>
      </c>
      <c r="AG272" s="99">
        <f ca="1">MIN(MAX(Y272+IF(AU272&gt;0,B272*AZ272/AU272,0)+BE272-AD272,0),TEW)</f>
        <v>5.814526626217</v>
      </c>
      <c r="AH272" s="99">
        <f ca="1">MIN(MAX(Z272+IF(AV272&gt;0,B272*BA272/AV272,0)+BF272-AE272,0),TEW)</f>
        <v>3.97779850740282</v>
      </c>
      <c r="AI272" s="99">
        <f ca="1" t="shared" si="45"/>
        <v>19.0543515010986</v>
      </c>
      <c r="AJ272" s="99">
        <f ca="1" t="shared" si="46"/>
        <v>1.3534970455279e-6</v>
      </c>
      <c r="AK272" s="70">
        <f ca="1">IF((AU272+AV272)&gt;0,(TEW-(AG272*AU272+AH272*AV272)/(AU272+AV272))/TEW,(TEW-(AG272+AH272)/2)/TEW)</f>
        <v>0.824467120717977</v>
      </c>
      <c r="AL272" s="70">
        <f ca="1" t="shared" si="47"/>
        <v>0.753890620743494</v>
      </c>
      <c r="AM272" s="70">
        <f ca="1" t="shared" si="48"/>
        <v>0.999999431638708</v>
      </c>
      <c r="AN272" s="70">
        <f ca="1">Wwp+(Wfc-Wwp)*IF((AU272+AV272)&gt;0,(TEW-(AG272*AU272+AH272*AV272)/(AU272+AV272))/TEW,(TEW-(AG272+AH272)/2)/TEW)</f>
        <v>0.377180725693337</v>
      </c>
      <c r="AO272" s="70">
        <f ca="1">Wwp+(Wfc-Wwp)*(R272-AI272)/R272</f>
        <v>0.368005780696654</v>
      </c>
      <c r="AP272" s="70">
        <f ca="1">Wwp+(Wfc-Wwp)*(S272-AJ272)/S272</f>
        <v>0.399999926113032</v>
      </c>
      <c r="AQ272" s="70"/>
      <c r="AR272" s="70"/>
      <c r="AS272" s="70"/>
      <c r="AT272" s="70"/>
      <c r="AU272" s="70">
        <f ca="1">MIN((1-G272),fw)</f>
        <v>0.784</v>
      </c>
      <c r="AV272" s="70">
        <f ca="1" t="shared" si="49"/>
        <v>0</v>
      </c>
      <c r="AW272" s="70">
        <f ca="1">MIN((TEW-Y272)/(TEW-REW),1)</f>
        <v>0.108020752662632</v>
      </c>
      <c r="AX272" s="70">
        <f ca="1">MIN((TEW-Z272)/(TEW-REW),1)</f>
        <v>0.113475918760882</v>
      </c>
      <c r="AY272" s="70">
        <f ca="1">IF((AU272*(TEW-Y272))&gt;0,1/(1+((AV272*(TEW-Z272))/(AU272*(TEW-Y272)))),0)</f>
        <v>1</v>
      </c>
      <c r="AZ272" s="70">
        <f ca="1">MIN((AY272*AW272*(Kcmax-H272)),AU272*Kcmax)</f>
        <v>0.097921286002269</v>
      </c>
      <c r="BA272" s="70">
        <f ca="1">MIN(((1-AY272)*AX272*(Kcmax-H272)),AV272*Kcmax)</f>
        <v>0</v>
      </c>
      <c r="BB272" s="70">
        <f ca="1" t="shared" si="50"/>
        <v>0.341451524289912</v>
      </c>
      <c r="BC272" s="70">
        <f ca="1">MIN((R272-AA272)/(R272*(1-(p+0.04*(5-I271)))),1)</f>
        <v>1</v>
      </c>
      <c r="BD272" s="10">
        <f ca="1" t="shared" si="51"/>
        <v>0.849069208130072</v>
      </c>
      <c r="BE272" s="70">
        <f ca="1">MIN(IF((1-AA272/R272)&gt;0,(1-Y272/TEW)/(1-AA272/R272)*(Ze/P272)^0.6,0),1)*BC272*H272*B272</f>
        <v>0.36712270188731</v>
      </c>
      <c r="BF272" s="70">
        <f ca="1">MIN(IF((1-AA272/R272)&gt;0,(1-Z272/TEW)/(1-AA272/R272)*(Ze/P272)^0.6,0),1)*BC272*H272*B272</f>
        <v>0.385662799672857</v>
      </c>
      <c r="BH272" s="10">
        <f ca="1" t="shared" si="52"/>
        <v>0.00259587523366794</v>
      </c>
      <c r="BI272" s="10">
        <f ca="1">IF(F272&lt;&gt;"",(Moy_Etobs-F272)^2,"")</f>
        <v>0.220243966047404</v>
      </c>
    </row>
    <row r="273" spans="1:61">
      <c r="A273" s="38">
        <v>39266</v>
      </c>
      <c r="B273" s="10">
        <v>3.493</v>
      </c>
      <c r="C273" s="39">
        <v>2.376</v>
      </c>
      <c r="D273" s="10">
        <v>0.317</v>
      </c>
      <c r="E273" s="39">
        <v>0</v>
      </c>
      <c r="F273" s="10">
        <v>1.0131354</v>
      </c>
      <c r="G273" s="10">
        <f ca="1">MIN(MAX(IF(AND(Durpla&gt;ROW()-MATCH(NDVImax,INDEX(D:D,Lig_min,1):INDEX(D:D,Lig_max,1),0)-Lig_min+1,ROW()-MATCH(NDVImax,INDEX(D:D,Lig_min,1):INDEX(D:D,Lig_max,1),0)-Lig_min+1&gt;0,D273*a_fc+b_fc&gt;fc_fin),NDVImax*a_fc+b_fc,D273*a_fc+b_fc),0),1)</f>
        <v>0.222666666666667</v>
      </c>
      <c r="H273" s="55">
        <f>MIN(MAX(D273*a_kcb+b_kcb,0),Kcmax)</f>
        <v>0.251010911352788</v>
      </c>
      <c r="I273" s="70">
        <f ca="1" t="shared" si="44"/>
        <v>1.23496805800452</v>
      </c>
      <c r="O273" s="55"/>
      <c r="P273" s="35">
        <f ca="1">IF(ROW()-MATCH(NDVImax,INDEX(D:D,Lig_min,1):INDEX(D:D,Lig_max,1),0)-Lig_min+1&gt;0,MAX(MIN(Zr_min+MAX(INDEX(G:G,Lig_min,1):INDEX(G:G,Lig_max,1))/MAX(MAX(INDEX(G:G,Lig_min,1):INDEX(G:G,Lig_max,1)),Max_fc_pour_Zrmax)*(Zr_max-Zr_min),Zr_max),Ze+0.001),MAX(MIN(Zr_min+G273/MAX(MAX(INDEX(G:G,Lig_min,1):INDEX(G:G,Lig_max,1)),Max_fc_pour_Zrmax)*(Zr_max-Zr_min),Zr_max),Ze+0.001))</f>
        <v>595.55606968994</v>
      </c>
      <c r="Q273" s="35">
        <f ca="1">IF(Z_sol&gt;0,Z_sol-P273,0.1)</f>
        <v>18.318481374494</v>
      </c>
      <c r="R273" s="35">
        <f ca="1">(Wfc-Wwp)*P273</f>
        <v>77.4222890596922</v>
      </c>
      <c r="S273" s="35">
        <f ca="1">(Wfc-Wwp)*Q273</f>
        <v>2.38140257868422</v>
      </c>
      <c r="T273" s="99">
        <f ca="1" t="shared" si="53"/>
        <v>5.814526626217</v>
      </c>
      <c r="U273" s="99">
        <f ca="1" t="shared" si="54"/>
        <v>3.97779850740282</v>
      </c>
      <c r="V273" s="99">
        <f ca="1">IF(P273&gt;P272,IF(Q273&gt;1,MAX(AI272+(Wfc-Wwp)*(P273-P272)*AJ272/S272,0),AI272/P272*P273),MAX(AI272+(Wfc-Wwp)*(P273-P272)*AI272/R272,0))</f>
        <v>19.0543515010986</v>
      </c>
      <c r="W273" s="99">
        <f ca="1">IF(S273&gt;1,IF(P273&gt;P272,MAX(AJ272-(Wfc-Wwp)*(P273-P272)*AJ272/S272,0),MAX(AJ272-(Wfc-Wwp)*(P273-P272)*AI272/R272,0)),0)</f>
        <v>1.3534970455279e-6</v>
      </c>
      <c r="X273" s="99">
        <f ca="1">IF(AND(OR(AND(dec_vide_TAW&lt;0,V273&gt;R273*(p+0.04*(5-I272))),AND(dec_vide_TAW&gt;0,V273&gt;R273*dec_vide_TAW)),H273&gt;MAX(INDEX(H:H,Lig_min,1):INDEX(H:H,ROW(X273),1))*Kcbmax_stop_irrig*IF(ROW(X273)-lig_kcbmax&gt;0,1,0),MIN(INDEX(H:H,ROW(X273),1):INDEX(H:H,lig_kcbmax,1))&gt;Kcbmin_start_irrig),MIN(MAX(V273-E273*Irri_man-C273,0),Lame_max),0)</f>
        <v>0</v>
      </c>
      <c r="Y273" s="99">
        <f ca="1">MIN(MAX(T273-C273-IF(fw&gt;0,X273/fw*Irri_auto+E273/fw*Irri_man,0),0),TEW)</f>
        <v>3.438526626217</v>
      </c>
      <c r="Z273" s="99">
        <f ca="1">MIN(MAX(U273-C273,0),TEW)</f>
        <v>1.60179850740282</v>
      </c>
      <c r="AA273" s="99">
        <f ca="1">MIN(MAX(V273-C273-(X273*Irri_auto+E273*Irri_man),0),R273)</f>
        <v>16.6783515010986</v>
      </c>
      <c r="AB273" s="99">
        <f ca="1">MIN(MAX(W273+MIN(V273-C273-(X273*Irri_auto+E273*Irri_man),0),0),S273)</f>
        <v>1.3534970455279e-6</v>
      </c>
      <c r="AC273" s="99">
        <f ca="1">-MIN(W273+MIN(V273-C273-(X273*Irri_auto+E273*Irri_man),0),0)</f>
        <v>0</v>
      </c>
      <c r="AD273" s="39">
        <f ca="1">IF(((R273-AA273)/P273-((Wfc-Wwp)*Ze-Y273)/Ze)/Wfc*DiffE&lt;0,MAX(((R273-AA273)/P273-((Wfc-Wwp)*Ze-Y273)/Ze)/Wfc*DiffE,(R273*Ze-((Wfc-Wwp)*Ze-Y273-AA273)*P273)/(P273+Ze)-AA273),MIN(((R273-AA273)/P273-((Wfc-Wwp)*Ze-Y273)/Ze)/Wfc*DiffE,(R273*Ze-((Wfc-Wwp)*Ze-Y273-AA273)*P273)/(P273+Ze)-AA273))</f>
        <v>-1.24114374730727e-9</v>
      </c>
      <c r="AE273" s="39">
        <f ca="1">IF(((R273-AA273)/P273-((Wfc-Wwp)*Ze-Z273)/Ze)/Wfc*DiffE&lt;0,MAX(((R273-AA273)/P273-((Wfc-Wwp)*Ze-Z273)/Ze)/Wfc*DiffE,(R273*Ze-((Wfc-Wwp)*Ze-Z273-AA273)*P273)/(P273+Ze)-AA273),MIN(((R273-AA273)/P273-((Wfc-Wwp)*Ze-Z273)/Ze)/Wfc*DiffE,(R273*Ze-((Wfc-Wwp)*Ze-Z273-AA273)*P273)/(P273+Ze)-AA273))</f>
        <v>-3.79757061235908e-8</v>
      </c>
      <c r="AF273" s="39">
        <f ca="1">IF(((S273-AB273)/Q273-(R273-AA273)/P273)/Wfc*DiffR&lt;0,MAX(((S273-AB273)/Q273-(R273-AA273)/P273)/Wfc*DiffR,(S273*P273-(R273-AA273-AB273)*Q273)/(P273+Q273)-AB273),MIN(((S273-AB273)/Q273-(R273-AA273)/P273)/Wfc*DiffR,(S273*P273-(R273-AA273-AB273)*Q273)/(P273+Q273)-AB273))</f>
        <v>7.00114915542274e-8</v>
      </c>
      <c r="AG273" s="99">
        <f ca="1">MIN(MAX(Y273+IF(AU273&gt;0,B273*AZ273/AU273,0)+BE273-AD273,0),TEW)</f>
        <v>4.29182479946737</v>
      </c>
      <c r="AH273" s="99">
        <f ca="1">MIN(MAX(Z273+IF(AV273&gt;0,B273*BA273/AV273,0)+BF273-AE273,0),TEW)</f>
        <v>2.0185922003608</v>
      </c>
      <c r="AI273" s="99">
        <f ca="1" t="shared" si="45"/>
        <v>17.9133194890917</v>
      </c>
      <c r="AJ273" s="99">
        <f ca="1" t="shared" si="46"/>
        <v>1.42350853708213e-6</v>
      </c>
      <c r="AK273" s="70">
        <f ca="1">IF((AU273+AV273)&gt;0,(TEW-(AG273*AU273+AH273*AV273)/(AU273+AV273))/TEW,(TEW-(AG273+AH273)/2)/TEW)</f>
        <v>0.870435477751929</v>
      </c>
      <c r="AL273" s="70">
        <f ca="1" t="shared" si="47"/>
        <v>0.768628392331818</v>
      </c>
      <c r="AM273" s="70">
        <f ca="1" t="shared" si="48"/>
        <v>0.999999402239441</v>
      </c>
      <c r="AN273" s="70">
        <f ca="1">Wwp+(Wfc-Wwp)*IF((AU273+AV273)&gt;0,(TEW-(AG273*AU273+AH273*AV273)/(AU273+AV273))/TEW,(TEW-(AG273+AH273)/2)/TEW)</f>
        <v>0.383156612107751</v>
      </c>
      <c r="AO273" s="70">
        <f ca="1">Wwp+(Wfc-Wwp)*(R273-AI273)/R273</f>
        <v>0.369921691003136</v>
      </c>
      <c r="AP273" s="70">
        <f ca="1">Wwp+(Wfc-Wwp)*(S273-AJ273)/S273</f>
        <v>0.399999922291127</v>
      </c>
      <c r="AQ273" s="70"/>
      <c r="AR273" s="70"/>
      <c r="AS273" s="70"/>
      <c r="AT273" s="70"/>
      <c r="AU273" s="70">
        <f ca="1">MIN((1-G273),fw)</f>
        <v>0.777333333333333</v>
      </c>
      <c r="AV273" s="70">
        <f ca="1" t="shared" si="49"/>
        <v>0</v>
      </c>
      <c r="AW273" s="70">
        <f ca="1">MIN((TEW-Y273)/(TEW-REW),1)</f>
        <v>0.114066140255263</v>
      </c>
      <c r="AX273" s="70">
        <f ca="1">MIN((TEW-Z273)/(TEW-REW),1)</f>
        <v>0.121123512297186</v>
      </c>
      <c r="AY273" s="70">
        <f ca="1">IF((AU273*(TEW-Y273))&gt;0,1/(1+((AV273*(TEW-Z273))/(AU273*(TEW-Y273)))),0)</f>
        <v>1</v>
      </c>
      <c r="AZ273" s="70">
        <f ca="1">MIN((AY273*AW273*(Kcmax-H273)),AU273*Kcmax)</f>
        <v>0.102544215473584</v>
      </c>
      <c r="BA273" s="70">
        <f ca="1">MIN(((1-AY273)*AX273*(Kcmax-H273)),AV273*Kcmax)</f>
        <v>0</v>
      </c>
      <c r="BB273" s="70">
        <f ca="1" t="shared" si="50"/>
        <v>0.358186944649228</v>
      </c>
      <c r="BC273" s="70">
        <f ca="1">MIN((R273-AA273)/(R273*(1-(p+0.04*(5-I272)))),1)</f>
        <v>1</v>
      </c>
      <c r="BD273" s="10">
        <f ca="1" t="shared" si="51"/>
        <v>0.876781113355289</v>
      </c>
      <c r="BE273" s="70">
        <f ca="1">MIN(IF((1-AA273/R273)&gt;0,(1-Y273/TEW)/(1-AA273/R273)*(Ze/P273)^0.6,0),1)*BC273*H273*B273</f>
        <v>0.392508792100272</v>
      </c>
      <c r="BF273" s="70">
        <f ca="1">MIN(IF((1-AA273/R273)&gt;0,(1-Z273/TEW)/(1-AA273/R273)*(Ze/P273)^0.6,0),1)*BC273*H273*B273</f>
        <v>0.416793654982268</v>
      </c>
      <c r="BH273" s="10">
        <f ca="1" t="shared" si="52"/>
        <v>0.0492097281573491</v>
      </c>
      <c r="BI273" s="10">
        <f ca="1">IF(F273&lt;&gt;"",(Moy_Etobs-F273)^2,"")</f>
        <v>0.354902778820706</v>
      </c>
    </row>
    <row r="274" spans="1:61">
      <c r="A274" s="38">
        <v>39267</v>
      </c>
      <c r="B274" s="10">
        <v>3.619</v>
      </c>
      <c r="C274" s="39">
        <v>1.188</v>
      </c>
      <c r="D274" s="10">
        <v>0.321</v>
      </c>
      <c r="E274" s="39">
        <v>0</v>
      </c>
      <c r="F274"/>
      <c r="G274" s="10">
        <f ca="1">MIN(MAX(IF(AND(Durpla&gt;ROW()-MATCH(NDVImax,INDEX(D:D,Lig_min,1):INDEX(D:D,Lig_max,1),0)-Lig_min+1,ROW()-MATCH(NDVImax,INDEX(D:D,Lig_min,1):INDEX(D:D,Lig_max,1),0)-Lig_min+1&gt;0,D274*a_fc+b_fc&gt;fc_fin),NDVImax*a_fc+b_fc,D274*a_fc+b_fc),0),1)</f>
        <v>0.228</v>
      </c>
      <c r="H274" s="55">
        <f>MIN(MAX(D274*a_kcb+b_kcb,0),Kcmax)</f>
        <v>0.25702314875046</v>
      </c>
      <c r="I274" s="70">
        <f ca="1" t="shared" si="44"/>
        <v>1.30294849787608</v>
      </c>
      <c r="O274" s="55"/>
      <c r="P274" s="35">
        <f ca="1">IF(ROW()-MATCH(NDVImax,INDEX(D:D,Lig_min,1):INDEX(D:D,Lig_max,1),0)-Lig_min+1&gt;0,MAX(MIN(Zr_min+MAX(INDEX(G:G,Lig_min,1):INDEX(G:G,Lig_max,1))/MAX(MAX(INDEX(G:G,Lig_min,1):INDEX(G:G,Lig_max,1)),Max_fc_pour_Zrmax)*(Zr_max-Zr_min),Zr_max),Ze+0.001),MAX(MIN(Zr_min+G274/MAX(MAX(INDEX(G:G,Lig_min,1):INDEX(G:G,Lig_max,1)),Max_fc_pour_Zrmax)*(Zr_max-Zr_min),Zr_max),Ze+0.001))</f>
        <v>595.55606968994</v>
      </c>
      <c r="Q274" s="35">
        <f ca="1">IF(Z_sol&gt;0,Z_sol-P274,0.1)</f>
        <v>18.318481374494</v>
      </c>
      <c r="R274" s="35">
        <f ca="1">(Wfc-Wwp)*P274</f>
        <v>77.4222890596922</v>
      </c>
      <c r="S274" s="35">
        <f ca="1">(Wfc-Wwp)*Q274</f>
        <v>2.38140257868422</v>
      </c>
      <c r="T274" s="99">
        <f ca="1" t="shared" si="53"/>
        <v>4.29182479946737</v>
      </c>
      <c r="U274" s="99">
        <f ca="1" t="shared" si="54"/>
        <v>2.0185922003608</v>
      </c>
      <c r="V274" s="99">
        <f ca="1">IF(P274&gt;P273,IF(Q274&gt;1,MAX(AI273+(Wfc-Wwp)*(P274-P273)*AJ273/S273,0),AI273/P273*P274),MAX(AI273+(Wfc-Wwp)*(P274-P273)*AI273/R273,0))</f>
        <v>17.9133194890917</v>
      </c>
      <c r="W274" s="99">
        <f ca="1">IF(S274&gt;1,IF(P274&gt;P273,MAX(AJ273-(Wfc-Wwp)*(P274-P273)*AJ273/S273,0),MAX(AJ273-(Wfc-Wwp)*(P274-P273)*AI273/R273,0)),0)</f>
        <v>1.42350853708213e-6</v>
      </c>
      <c r="X274" s="99">
        <f ca="1">IF(AND(OR(AND(dec_vide_TAW&lt;0,V274&gt;R274*(p+0.04*(5-I273))),AND(dec_vide_TAW&gt;0,V274&gt;R274*dec_vide_TAW)),H274&gt;MAX(INDEX(H:H,Lig_min,1):INDEX(H:H,ROW(X274),1))*Kcbmax_stop_irrig*IF(ROW(X274)-lig_kcbmax&gt;0,1,0),MIN(INDEX(H:H,ROW(X274),1):INDEX(H:H,lig_kcbmax,1))&gt;Kcbmin_start_irrig),MIN(MAX(V274-E274*Irri_man-C274,0),Lame_max),0)</f>
        <v>0</v>
      </c>
      <c r="Y274" s="99">
        <f ca="1">MIN(MAX(T274-C274-IF(fw&gt;0,X274/fw*Irri_auto+E274/fw*Irri_man,0),0),TEW)</f>
        <v>3.10382479946737</v>
      </c>
      <c r="Z274" s="99">
        <f ca="1">MIN(MAX(U274-C274,0),TEW)</f>
        <v>0.830592200360796</v>
      </c>
      <c r="AA274" s="99">
        <f ca="1">MIN(MAX(V274-C274-(X274*Irri_auto+E274*Irri_man),0),R274)</f>
        <v>16.7253194890917</v>
      </c>
      <c r="AB274" s="99">
        <f ca="1">MIN(MAX(W274+MIN(V274-C274-(X274*Irri_auto+E274*Irri_man),0),0),S274)</f>
        <v>1.42350853708213e-6</v>
      </c>
      <c r="AC274" s="99">
        <f ca="1">-MIN(W274+MIN(V274-C274-(X274*Irri_auto+E274*Irri_man),0),0)</f>
        <v>0</v>
      </c>
      <c r="AD274" s="39">
        <f ca="1">IF(((R274-AA274)/P274-((Wfc-Wwp)*Ze-Y274)/Ze)/Wfc*DiffE&lt;0,MAX(((R274-AA274)/P274-((Wfc-Wwp)*Ze-Y274)/Ze)/Wfc*DiffE,(R274*Ze-((Wfc-Wwp)*Ze-Y274-AA274)*P274)/(P274+Ze)-AA274),MIN(((R274-AA274)/P274-((Wfc-Wwp)*Ze-Y274)/Ze)/Wfc*DiffE,(R274*Ze-((Wfc-Wwp)*Ze-Y274-AA274)*P274)/(P274+Ze)-AA274))</f>
        <v>-8.13234050945306e-9</v>
      </c>
      <c r="AE274" s="39">
        <f ca="1">IF(((R274-AA274)/P274-((Wfc-Wwp)*Ze-Z274)/Ze)/Wfc*DiffE&lt;0,MAX(((R274-AA274)/P274-((Wfc-Wwp)*Ze-Z274)/Ze)/Wfc*DiffE,(R274*Ze-((Wfc-Wwp)*Ze-Z274-AA274)*P274)/(P274+Ze)-AA274),MIN(((R274-AA274)/P274-((Wfc-Wwp)*Ze-Z274)/Ze)/Wfc*DiffE,(R274*Ze-((Wfc-Wwp)*Ze-Z274-AA274)*P274)/(P274+Ze)-AA274))</f>
        <v>-5.35969924915845e-8</v>
      </c>
      <c r="AF274" s="39">
        <f ca="1">IF(((S274-AB274)/Q274-(R274-AA274)/P274)/Wfc*DiffR&lt;0,MAX(((S274-AB274)/Q274-(R274-AA274)/P274)/Wfc*DiffR,(S274*P274-(R274-AA274-AB274)*Q274)/(P274+Q274)-AB274),MIN(((S274-AB274)/Q274-(R274-AA274)/P274)/Wfc*DiffR,(S274*P274-(R274-AA274-AB274)*Q274)/(P274+Q274)-AB274))</f>
        <v>7.02086422266187e-8</v>
      </c>
      <c r="AG274" s="99">
        <f ca="1">MIN(MAX(Y274+IF(AU274&gt;0,B274*AZ274/AU274,0)+BE274-AD274,0),TEW)</f>
        <v>4.0081313187591</v>
      </c>
      <c r="AH274" s="99">
        <f ca="1">MIN(MAX(Z274+IF(AV274&gt;0,B274*BA274/AV274,0)+BF274-AE274,0),TEW)</f>
        <v>1.2839318722824</v>
      </c>
      <c r="AI274" s="99">
        <f ca="1" t="shared" si="45"/>
        <v>18.0282679167591</v>
      </c>
      <c r="AJ274" s="99">
        <f ca="1" t="shared" si="46"/>
        <v>1.49371717930875e-6</v>
      </c>
      <c r="AK274" s="70">
        <f ca="1">IF((AU274+AV274)&gt;0,(TEW-(AG274*AU274+AH274*AV274)/(AU274+AV274))/TEW,(TEW-(AG274+AH274)/2)/TEW)</f>
        <v>0.878999809245008</v>
      </c>
      <c r="AL274" s="70">
        <f ca="1" t="shared" si="47"/>
        <v>0.767143698078219</v>
      </c>
      <c r="AM274" s="70">
        <f ca="1" t="shared" si="48"/>
        <v>0.999999372757386</v>
      </c>
      <c r="AN274" s="70">
        <f ca="1">Wwp+(Wfc-Wwp)*IF((AU274+AV274)&gt;0,(TEW-(AG274*AU274+AH274*AV274)/(AU274+AV274))/TEW,(TEW-(AG274+AH274)/2)/TEW)</f>
        <v>0.384269975201851</v>
      </c>
      <c r="AO274" s="70">
        <f ca="1">Wwp+(Wfc-Wwp)*(R274-AI274)/R274</f>
        <v>0.369728680750168</v>
      </c>
      <c r="AP274" s="70">
        <f ca="1">Wwp+(Wfc-Wwp)*(S274-AJ274)/S274</f>
        <v>0.39999991845846</v>
      </c>
      <c r="AQ274" s="70"/>
      <c r="AR274" s="70"/>
      <c r="AS274" s="70"/>
      <c r="AT274" s="70"/>
      <c r="AU274" s="70">
        <f ca="1">MIN((1-G274),fw)</f>
        <v>0.772</v>
      </c>
      <c r="AV274" s="70">
        <f ca="1" t="shared" si="49"/>
        <v>0</v>
      </c>
      <c r="AW274" s="70">
        <f ca="1">MIN((TEW-Y274)/(TEW-REW),1)</f>
        <v>0.115352185419099</v>
      </c>
      <c r="AX274" s="70">
        <f ca="1">MIN((TEW-Z274)/(TEW-REW),1)</f>
        <v>0.124086765145619</v>
      </c>
      <c r="AY274" s="70">
        <f ca="1">IF((AU274*(TEW-Y274))&gt;0,1/(1+((AV274*(TEW-Z274))/(AU274*(TEW-Y274)))),0)</f>
        <v>1</v>
      </c>
      <c r="AZ274" s="70">
        <f ca="1">MIN((AY274*AW274*(Kcmax-H274)),AU274*Kcmax)</f>
        <v>0.1030068313203</v>
      </c>
      <c r="BA274" s="70">
        <f ca="1">MIN(((1-AY274)*AX274*(Kcmax-H274)),AV274*Kcmax)</f>
        <v>0</v>
      </c>
      <c r="BB274" s="70">
        <f ca="1" t="shared" si="50"/>
        <v>0.372781722548167</v>
      </c>
      <c r="BC274" s="70">
        <f ca="1">MIN((R274-AA274)/(R274*(1-(p+0.04*(5-I273)))),1)</f>
        <v>1</v>
      </c>
      <c r="BD274" s="10">
        <f ca="1" t="shared" si="51"/>
        <v>0.930166775327914</v>
      </c>
      <c r="BE274" s="70">
        <f ca="1">MIN(IF((1-AA274/R274)&gt;0,(1-Y274/TEW)/(1-AA274/R274)*(Ze/P274)^0.6,0),1)*BC274*H274*B274</f>
        <v>0.421428632210986</v>
      </c>
      <c r="BF274" s="70">
        <f ca="1">MIN(IF((1-AA274/R274)&gt;0,(1-Z274/TEW)/(1-AA274/R274)*(Ze/P274)^0.6,0),1)*BC274*H274*B274</f>
        <v>0.453339618324611</v>
      </c>
      <c r="BH274" s="10" t="str">
        <f ca="1" t="shared" si="52"/>
        <v/>
      </c>
      <c r="BI274" s="10" t="str">
        <f ca="1">IF(F274&lt;&gt;"",(Moy_Etobs-F274)^2,"")</f>
        <v/>
      </c>
    </row>
    <row r="275" spans="1:61">
      <c r="A275" s="38">
        <v>39268</v>
      </c>
      <c r="B275" s="10">
        <v>4.782</v>
      </c>
      <c r="C275" s="39">
        <v>0</v>
      </c>
      <c r="D275" s="10">
        <v>0.326</v>
      </c>
      <c r="E275" s="39">
        <v>0</v>
      </c>
      <c r="F275" s="10">
        <v>1.6327656</v>
      </c>
      <c r="G275" s="10">
        <f ca="1">MIN(MAX(IF(AND(Durpla&gt;ROW()-MATCH(NDVImax,INDEX(D:D,Lig_min,1):INDEX(D:D,Lig_max,1),0)-Lig_min+1,ROW()-MATCH(NDVImax,INDEX(D:D,Lig_min,1):INDEX(D:D,Lig_max,1),0)-Lig_min+1&gt;0,D275*a_fc+b_fc&gt;fc_fin),NDVImax*a_fc+b_fc,D275*a_fc+b_fc),0),1)</f>
        <v>0.234666666666667</v>
      </c>
      <c r="H275" s="55">
        <f>MIN(MAX(D275*a_kcb+b_kcb,0),Kcmax)</f>
        <v>0.264538445497549</v>
      </c>
      <c r="I275" s="70">
        <f ca="1" t="shared" si="44"/>
        <v>1.73874324595076</v>
      </c>
      <c r="O275" s="55"/>
      <c r="P275" s="35">
        <f ca="1">IF(ROW()-MATCH(NDVImax,INDEX(D:D,Lig_min,1):INDEX(D:D,Lig_max,1),0)-Lig_min+1&gt;0,MAX(MIN(Zr_min+MAX(INDEX(G:G,Lig_min,1):INDEX(G:G,Lig_max,1))/MAX(MAX(INDEX(G:G,Lig_min,1):INDEX(G:G,Lig_max,1)),Max_fc_pour_Zrmax)*(Zr_max-Zr_min),Zr_max),Ze+0.001),MAX(MIN(Zr_min+G275/MAX(MAX(INDEX(G:G,Lig_min,1):INDEX(G:G,Lig_max,1)),Max_fc_pour_Zrmax)*(Zr_max-Zr_min),Zr_max),Ze+0.001))</f>
        <v>595.55606968994</v>
      </c>
      <c r="Q275" s="35">
        <f ca="1">IF(Z_sol&gt;0,Z_sol-P275,0.1)</f>
        <v>18.318481374494</v>
      </c>
      <c r="R275" s="35">
        <f ca="1">(Wfc-Wwp)*P275</f>
        <v>77.4222890596922</v>
      </c>
      <c r="S275" s="35">
        <f ca="1">(Wfc-Wwp)*Q275</f>
        <v>2.38140257868422</v>
      </c>
      <c r="T275" s="99">
        <f ca="1" t="shared" si="53"/>
        <v>4.0081313187591</v>
      </c>
      <c r="U275" s="99">
        <f ca="1" t="shared" si="54"/>
        <v>1.2839318722824</v>
      </c>
      <c r="V275" s="99">
        <f ca="1">IF(P275&gt;P274,IF(Q275&gt;1,MAX(AI274+(Wfc-Wwp)*(P275-P274)*AJ274/S274,0),AI274/P274*P275),MAX(AI274+(Wfc-Wwp)*(P275-P274)*AI274/R274,0))</f>
        <v>18.0282679167591</v>
      </c>
      <c r="W275" s="99">
        <f ca="1">IF(S275&gt;1,IF(P275&gt;P274,MAX(AJ274-(Wfc-Wwp)*(P275-P274)*AJ274/S274,0),MAX(AJ274-(Wfc-Wwp)*(P275-P274)*AI274/R274,0)),0)</f>
        <v>1.49371717930875e-6</v>
      </c>
      <c r="X275" s="99">
        <f ca="1">IF(AND(OR(AND(dec_vide_TAW&lt;0,V275&gt;R275*(p+0.04*(5-I274))),AND(dec_vide_TAW&gt;0,V275&gt;R275*dec_vide_TAW)),H275&gt;MAX(INDEX(H:H,Lig_min,1):INDEX(H:H,ROW(X275),1))*Kcbmax_stop_irrig*IF(ROW(X275)-lig_kcbmax&gt;0,1,0),MIN(INDEX(H:H,ROW(X275),1):INDEX(H:H,lig_kcbmax,1))&gt;Kcbmin_start_irrig),MIN(MAX(V275-E275*Irri_man-C275,0),Lame_max),0)</f>
        <v>0</v>
      </c>
      <c r="Y275" s="99">
        <f ca="1">MIN(MAX(T275-C275-IF(fw&gt;0,X275/fw*Irri_auto+E275/fw*Irri_man,0),0),TEW)</f>
        <v>4.0081313187591</v>
      </c>
      <c r="Z275" s="99">
        <f ca="1">MIN(MAX(U275-C275,0),TEW)</f>
        <v>1.2839318722824</v>
      </c>
      <c r="AA275" s="99">
        <f ca="1">MIN(MAX(V275-C275-(X275*Irri_auto+E275*Irri_man),0),R275)</f>
        <v>18.0282679167591</v>
      </c>
      <c r="AB275" s="99">
        <f ca="1">MIN(MAX(W275+MIN(V275-C275-(X275*Irri_auto+E275*Irri_man),0),0),S275)</f>
        <v>1.49371717930875e-6</v>
      </c>
      <c r="AC275" s="99">
        <f ca="1">-MIN(W275+MIN(V275-C275-(X275*Irri_auto+E275*Irri_man),0),0)</f>
        <v>0</v>
      </c>
      <c r="AD275" s="39">
        <f ca="1">IF(((R275-AA275)/P275-((Wfc-Wwp)*Ze-Y275)/Ze)/Wfc*DiffE&lt;0,MAX(((R275-AA275)/P275-((Wfc-Wwp)*Ze-Y275)/Ze)/Wfc*DiffE,(R275*Ze-((Wfc-Wwp)*Ze-Y275-AA275)*P275)/(P275+Ze)-AA275),MIN(((R275-AA275)/P275-((Wfc-Wwp)*Ze-Y275)/Ze)/Wfc*DiffE,(R275*Ze-((Wfc-Wwp)*Ze-Y275-AA275)*P275)/(P275+Ze)-AA275))</f>
        <v>4.484328250603e-9</v>
      </c>
      <c r="AE275" s="39">
        <f ca="1">IF(((R275-AA275)/P275-((Wfc-Wwp)*Ze-Z275)/Ze)/Wfc*DiffE&lt;0,MAX(((R275-AA275)/P275-((Wfc-Wwp)*Ze-Z275)/Ze)/Wfc*DiffE,(R275*Ze-((Wfc-Wwp)*Ze-Z275-AA275)*P275)/(P275+Ze)-AA275),MIN(((R275-AA275)/P275-((Wfc-Wwp)*Ze-Z275)/Ze)/Wfc*DiffE,(R275*Ze-((Wfc-Wwp)*Ze-Z275-AA275)*P275)/(P275+Ze)-AA275))</f>
        <v>-4.99996606789309e-8</v>
      </c>
      <c r="AF275" s="39">
        <f ca="1">IF(((S275-AB275)/Q275-(R275-AA275)/P275)/Wfc*DiffR&lt;0,MAX(((S275-AB275)/Q275-(R275-AA275)/P275)/Wfc*DiffR,(S275*P275-(R275-AA275-AB275)*Q275)/(P275+Q275)-AB275),MIN(((S275-AB275)/Q275-(R275-AA275)/P275)/Wfc*DiffR,(S275*P275-(R275-AA275-AB275)*Q275)/(P275+Q275)-AB275))</f>
        <v>7.56780942707293e-8</v>
      </c>
      <c r="AG275" s="99">
        <f ca="1">MIN(MAX(Y275+IF(AU275&gt;0,B275*AZ275/AU275,0)+BE275-AD275,0),TEW)</f>
        <v>5.1951752542924</v>
      </c>
      <c r="AH275" s="99">
        <f ca="1">MIN(MAX(Z275+IF(AV275&gt;0,B275*BA275/AV275,0)+BF275-AE275,0),TEW)</f>
        <v>1.90515245678744</v>
      </c>
      <c r="AI275" s="99">
        <f ca="1" t="shared" si="45"/>
        <v>19.7670110870318</v>
      </c>
      <c r="AJ275" s="99">
        <f ca="1" t="shared" si="46"/>
        <v>1.56939527357948e-6</v>
      </c>
      <c r="AK275" s="70">
        <f ca="1">IF((AU275+AV275)&gt;0,(TEW-(AG275*AU275+AH275*AV275)/(AU275+AV275))/TEW,(TEW-(AG275+AH275)/2)/TEW)</f>
        <v>0.843164520625135</v>
      </c>
      <c r="AL275" s="70">
        <f ca="1" t="shared" si="47"/>
        <v>0.744685783291792</v>
      </c>
      <c r="AM275" s="70">
        <f ca="1" t="shared" si="48"/>
        <v>0.999999340978595</v>
      </c>
      <c r="AN275" s="70">
        <f ca="1">Wwp+(Wfc-Wwp)*IF((AU275+AV275)&gt;0,(TEW-(AG275*AU275+AH275*AV275)/(AU275+AV275))/TEW,(TEW-(AG275+AH275)/2)/TEW)</f>
        <v>0.379611387681268</v>
      </c>
      <c r="AO275" s="70">
        <f ca="1">Wwp+(Wfc-Wwp)*(R275-AI275)/R275</f>
        <v>0.366809151827933</v>
      </c>
      <c r="AP275" s="70">
        <f ca="1">Wwp+(Wfc-Wwp)*(S275-AJ275)/S275</f>
        <v>0.399999914327217</v>
      </c>
      <c r="AQ275" s="70"/>
      <c r="AR275" s="70"/>
      <c r="AS275" s="70"/>
      <c r="AT275" s="70"/>
      <c r="AU275" s="70">
        <f ca="1">MIN((1-G275),fw)</f>
        <v>0.765333333333333</v>
      </c>
      <c r="AV275" s="70">
        <f ca="1" t="shared" si="49"/>
        <v>0</v>
      </c>
      <c r="AW275" s="70">
        <f ca="1">MIN((TEW-Y275)/(TEW-REW),1)</f>
        <v>0.111877513538593</v>
      </c>
      <c r="AX275" s="70">
        <f ca="1">MIN((TEW-Z275)/(TEW-REW),1)</f>
        <v>0.122344870581398</v>
      </c>
      <c r="AY275" s="70">
        <f ca="1">IF((AU275*(TEW-Y275))&gt;0,1/(1+((AV275*(TEW-Z275))/(AU275*(TEW-Y275)))),0)</f>
        <v>1</v>
      </c>
      <c r="AZ275" s="70">
        <f ca="1">MIN((AY275*AW275*(Kcmax-H275)),AU275*Kcmax)</f>
        <v>0.0990632370517517</v>
      </c>
      <c r="BA275" s="70">
        <f ca="1">MIN(((1-AY275)*AX275*(Kcmax-H275)),AV275*Kcmax)</f>
        <v>0</v>
      </c>
      <c r="BB275" s="70">
        <f ca="1" t="shared" si="50"/>
        <v>0.473720399581476</v>
      </c>
      <c r="BC275" s="70">
        <f ca="1">MIN((R275-AA275)/(R275*(1-(p+0.04*(5-I274)))),1)</f>
        <v>1</v>
      </c>
      <c r="BD275" s="10">
        <f ca="1" t="shared" si="51"/>
        <v>1.26502284636928</v>
      </c>
      <c r="BE275" s="70">
        <f ca="1">MIN(IF((1-AA275/R275)&gt;0,(1-Y275/TEW)/(1-AA275/R275)*(Ze/P275)^0.6,0),1)*BC275*H275*B275</f>
        <v>0.568071292480855</v>
      </c>
      <c r="BF275" s="70">
        <f ca="1">MIN(IF((1-AA275/R275)&gt;0,(1-Z275/TEW)/(1-AA275/R275)*(Ze/P275)^0.6,0),1)*BC275*H275*B275</f>
        <v>0.621220534505382</v>
      </c>
      <c r="BH275" s="10">
        <f ca="1" t="shared" si="52"/>
        <v>0.011231261441264</v>
      </c>
      <c r="BI275" s="10">
        <f ca="1">IF(F275&lt;&gt;"",(Moy_Etobs-F275)^2,"")</f>
        <v>0.000570876758206247</v>
      </c>
    </row>
    <row r="276" spans="1:61">
      <c r="A276" s="38">
        <v>39269</v>
      </c>
      <c r="B276" s="10">
        <v>5.725</v>
      </c>
      <c r="C276" s="39">
        <v>0</v>
      </c>
      <c r="D276" s="10">
        <v>0.33</v>
      </c>
      <c r="E276" s="39">
        <v>0</v>
      </c>
      <c r="F276" s="10">
        <v>1.6998678</v>
      </c>
      <c r="G276" s="10">
        <f ca="1">MIN(MAX(IF(AND(Durpla&gt;ROW()-MATCH(NDVImax,INDEX(D:D,Lig_min,1):INDEX(D:D,Lig_max,1),0)-Lig_min+1,ROW()-MATCH(NDVImax,INDEX(D:D,Lig_min,1):INDEX(D:D,Lig_max,1),0)-Lig_min+1&gt;0,D276*a_fc+b_fc&gt;fc_fin),NDVImax*a_fc+b_fc,D276*a_fc+b_fc),0),1)</f>
        <v>0.24</v>
      </c>
      <c r="H276" s="55">
        <f>MIN(MAX(D276*a_kcb+b_kcb,0),Kcmax)</f>
        <v>0.270550682895221</v>
      </c>
      <c r="I276" s="70">
        <f ca="1" t="shared" si="44"/>
        <v>2.08922466540657</v>
      </c>
      <c r="O276" s="55"/>
      <c r="P276" s="35">
        <f ca="1">IF(ROW()-MATCH(NDVImax,INDEX(D:D,Lig_min,1):INDEX(D:D,Lig_max,1),0)-Lig_min+1&gt;0,MAX(MIN(Zr_min+MAX(INDEX(G:G,Lig_min,1):INDEX(G:G,Lig_max,1))/MAX(MAX(INDEX(G:G,Lig_min,1):INDEX(G:G,Lig_max,1)),Max_fc_pour_Zrmax)*(Zr_max-Zr_min),Zr_max),Ze+0.001),MAX(MIN(Zr_min+G276/MAX(MAX(INDEX(G:G,Lig_min,1):INDEX(G:G,Lig_max,1)),Max_fc_pour_Zrmax)*(Zr_max-Zr_min),Zr_max),Ze+0.001))</f>
        <v>595.55606968994</v>
      </c>
      <c r="Q276" s="35">
        <f ca="1">IF(Z_sol&gt;0,Z_sol-P276,0.1)</f>
        <v>18.318481374494</v>
      </c>
      <c r="R276" s="35">
        <f ca="1">(Wfc-Wwp)*P276</f>
        <v>77.4222890596922</v>
      </c>
      <c r="S276" s="35">
        <f ca="1">(Wfc-Wwp)*Q276</f>
        <v>2.38140257868422</v>
      </c>
      <c r="T276" s="99">
        <f ca="1" t="shared" si="53"/>
        <v>5.1951752542924</v>
      </c>
      <c r="U276" s="99">
        <f ca="1" t="shared" si="54"/>
        <v>1.90515245678744</v>
      </c>
      <c r="V276" s="99">
        <f ca="1">IF(P276&gt;P275,IF(Q276&gt;1,MAX(AI275+(Wfc-Wwp)*(P276-P275)*AJ275/S275,0),AI275/P275*P276),MAX(AI275+(Wfc-Wwp)*(P276-P275)*AI275/R275,0))</f>
        <v>19.7670110870318</v>
      </c>
      <c r="W276" s="99">
        <f ca="1">IF(S276&gt;1,IF(P276&gt;P275,MAX(AJ275-(Wfc-Wwp)*(P276-P275)*AJ275/S275,0),MAX(AJ275-(Wfc-Wwp)*(P276-P275)*AI275/R275,0)),0)</f>
        <v>1.56939527357948e-6</v>
      </c>
      <c r="X276" s="99">
        <f ca="1">IF(AND(OR(AND(dec_vide_TAW&lt;0,V276&gt;R276*(p+0.04*(5-I275))),AND(dec_vide_TAW&gt;0,V276&gt;R276*dec_vide_TAW)),H276&gt;MAX(INDEX(H:H,Lig_min,1):INDEX(H:H,ROW(X276),1))*Kcbmax_stop_irrig*IF(ROW(X276)-lig_kcbmax&gt;0,1,0),MIN(INDEX(H:H,ROW(X276),1):INDEX(H:H,lig_kcbmax,1))&gt;Kcbmin_start_irrig),MIN(MAX(V276-E276*Irri_man-C276,0),Lame_max),0)</f>
        <v>0</v>
      </c>
      <c r="Y276" s="99">
        <f ca="1">MIN(MAX(T276-C276-IF(fw&gt;0,X276/fw*Irri_auto+E276/fw*Irri_man,0),0),TEW)</f>
        <v>5.1951752542924</v>
      </c>
      <c r="Z276" s="99">
        <f ca="1">MIN(MAX(U276-C276,0),TEW)</f>
        <v>1.90515245678744</v>
      </c>
      <c r="AA276" s="99">
        <f ca="1">MIN(MAX(V276-C276-(X276*Irri_auto+E276*Irri_man),0),R276)</f>
        <v>19.7670110870318</v>
      </c>
      <c r="AB276" s="99">
        <f ca="1">MIN(MAX(W276+MIN(V276-C276-(X276*Irri_auto+E276*Irri_man),0),0),S276)</f>
        <v>1.56939527357948e-6</v>
      </c>
      <c r="AC276" s="99">
        <f ca="1">-MIN(W276+MIN(V276-C276-(X276*Irri_auto+E276*Irri_man),0),0)</f>
        <v>0</v>
      </c>
      <c r="AD276" s="39">
        <f ca="1">IF(((R276-AA276)/P276-((Wfc-Wwp)*Ze-Y276)/Ze)/Wfc*DiffE&lt;0,MAX(((R276-AA276)/P276-((Wfc-Wwp)*Ze-Y276)/Ze)/Wfc*DiffE,(R276*Ze-((Wfc-Wwp)*Ze-Y276-AA276)*P276)/(P276+Ze)-AA276),MIN(((R276-AA276)/P276-((Wfc-Wwp)*Ze-Y276)/Ze)/Wfc*DiffE,(R276*Ze-((Wfc-Wwp)*Ze-Y276-AA276)*P276)/(P276+Ze)-AA276))</f>
        <v>2.09263846556803e-8</v>
      </c>
      <c r="AE276" s="39">
        <f ca="1">IF(((R276-AA276)/P276-((Wfc-Wwp)*Ze-Z276)/Ze)/Wfc*DiffE&lt;0,MAX(((R276-AA276)/P276-((Wfc-Wwp)*Ze-Z276)/Ze)/Wfc*DiffE,(R276*Ze-((Wfc-Wwp)*Ze-Z276-AA276)*P276)/(P276+Ze)-AA276),MIN(((R276-AA276)/P276-((Wfc-Wwp)*Ze-Z276)/Ze)/Wfc*DiffE,(R276*Ze-((Wfc-Wwp)*Ze-Z276-AA276)*P276)/(P276+Ze)-AA276))</f>
        <v>-4.48740712944188e-8</v>
      </c>
      <c r="AF276" s="39">
        <f ca="1">IF(((S276-AB276)/Q276-(R276-AA276)/P276)/Wfc*DiffR&lt;0,MAX(((S276-AB276)/Q276-(R276-AA276)/P276)/Wfc*DiffR,(S276*P276-(R276-AA276-AB276)*Q276)/(P276+Q276)-AB276),MIN(((S276-AB276)/Q276-(R276-AA276)/P276)/Wfc*DiffR,(S276*P276-(R276-AA276-AB276)*Q276)/(P276+Q276)-AB276))</f>
        <v>8.29769062482109e-8</v>
      </c>
      <c r="AG276" s="99">
        <f ca="1">MIN(MAX(Y276+IF(AU276&gt;0,B276*AZ276/AU276,0)+BE276-AD276,0),TEW)</f>
        <v>6.59344020763958</v>
      </c>
      <c r="AH276" s="99">
        <f ca="1">MIN(MAX(Z276+IF(AV276&gt;0,B276*BA276/AV276,0)+BF276-AE276,0),TEW)</f>
        <v>2.67343045065715</v>
      </c>
      <c r="AI276" s="99">
        <f ca="1" t="shared" si="45"/>
        <v>21.8562356694614</v>
      </c>
      <c r="AJ276" s="99">
        <f ca="1" t="shared" si="46"/>
        <v>1.65237217982769e-6</v>
      </c>
      <c r="AK276" s="70">
        <f ca="1">IF((AU276+AV276)&gt;0,(TEW-(AG276*AU276+AH276*AV276)/(AU276+AV276))/TEW,(TEW-(AG276+AH276)/2)/TEW)</f>
        <v>0.800952748448616</v>
      </c>
      <c r="AL276" s="70">
        <f ca="1" t="shared" si="47"/>
        <v>0.717700988502027</v>
      </c>
      <c r="AM276" s="70">
        <f ca="1" t="shared" si="48"/>
        <v>0.999999306134883</v>
      </c>
      <c r="AN276" s="70">
        <f ca="1">Wwp+(Wfc-Wwp)*IF((AU276+AV276)&gt;0,(TEW-(AG276*AU276+AH276*AV276)/(AU276+AV276))/TEW,(TEW-(AG276+AH276)/2)/TEW)</f>
        <v>0.37412385729832</v>
      </c>
      <c r="AO276" s="70">
        <f ca="1">Wwp+(Wfc-Wwp)*(R276-AI276)/R276</f>
        <v>0.363301128505264</v>
      </c>
      <c r="AP276" s="70">
        <f ca="1">Wwp+(Wfc-Wwp)*(S276-AJ276)/S276</f>
        <v>0.399999909797535</v>
      </c>
      <c r="AQ276" s="70"/>
      <c r="AR276" s="70"/>
      <c r="AS276" s="70"/>
      <c r="AT276" s="70"/>
      <c r="AU276" s="70">
        <f ca="1">MIN((1-G276),fw)</f>
        <v>0.76</v>
      </c>
      <c r="AV276" s="70">
        <f ca="1" t="shared" si="49"/>
        <v>0</v>
      </c>
      <c r="AW276" s="70">
        <f ca="1">MIN((TEW-Y276)/(TEW-REW),1)</f>
        <v>0.10731646250586</v>
      </c>
      <c r="AX276" s="70">
        <f ca="1">MIN((TEW-Z276)/(TEW-REW),1)</f>
        <v>0.1199579169871</v>
      </c>
      <c r="AY276" s="70">
        <f ca="1">IF((AU276*(TEW-Y276))&gt;0,1/(1+((AV276*(TEW-Z276))/(AU276*(TEW-Y276)))),0)</f>
        <v>1</v>
      </c>
      <c r="AZ276" s="70">
        <f ca="1">MIN((AY276*AW276*(Kcmax-H276)),AU276*Kcmax)</f>
        <v>0.0943793896648791</v>
      </c>
      <c r="BA276" s="70">
        <f ca="1">MIN(((1-AY276)*AX276*(Kcmax-H276)),AV276*Kcmax)</f>
        <v>0</v>
      </c>
      <c r="BB276" s="70">
        <f ca="1" t="shared" si="50"/>
        <v>0.540322005831433</v>
      </c>
      <c r="BC276" s="70">
        <f ca="1">MIN((R276-AA276)/(R276*(1-(p+0.04*(5-I275)))),1)</f>
        <v>1</v>
      </c>
      <c r="BD276" s="10">
        <f ca="1" t="shared" si="51"/>
        <v>1.54890265957514</v>
      </c>
      <c r="BE276" s="70">
        <f ca="1">MIN(IF((1-AA276/R276)&gt;0,(1-Y276/TEW)/(1-AA276/R276)*(Ze/P276)^0.6,0),1)*BC276*H276*B276</f>
        <v>0.687314966600632</v>
      </c>
      <c r="BF276" s="70">
        <f ca="1">MIN(IF((1-AA276/R276)&gt;0,(1-Z276/TEW)/(1-AA276/R276)*(Ze/P276)^0.6,0),1)*BC276*H276*B276</f>
        <v>0.768277948995641</v>
      </c>
      <c r="BH276" s="10">
        <f ca="1" t="shared" si="52"/>
        <v>0.151598768639232</v>
      </c>
      <c r="BI276" s="10">
        <f ca="1">IF(F276&lt;&gt;"",(Moy_Etobs-F276)^2,"")</f>
        <v>0.00828013140907919</v>
      </c>
    </row>
    <row r="277" spans="1:61">
      <c r="A277" s="38">
        <v>39270</v>
      </c>
      <c r="B277" s="10">
        <v>5.781</v>
      </c>
      <c r="C277" s="39">
        <v>0</v>
      </c>
      <c r="D277" s="10">
        <v>0.294</v>
      </c>
      <c r="E277" s="39">
        <v>0</v>
      </c>
      <c r="F277" s="10">
        <v>1.4876082</v>
      </c>
      <c r="G277" s="10">
        <f ca="1">MIN(MAX(IF(AND(Durpla&gt;ROW()-MATCH(NDVImax,INDEX(D:D,Lig_min,1):INDEX(D:D,Lig_max,1),0)-Lig_min+1,ROW()-MATCH(NDVImax,INDEX(D:D,Lig_min,1):INDEX(D:D,Lig_max,1),0)-Lig_min+1&gt;0,D277*a_fc+b_fc&gt;fc_fin),NDVImax*a_fc+b_fc,D277*a_fc+b_fc),0),1)</f>
        <v>0.192</v>
      </c>
      <c r="H277" s="55">
        <f>MIN(MAX(D277*a_kcb+b_kcb,0),Kcmax)</f>
        <v>0.216440546316177</v>
      </c>
      <c r="I277" s="70">
        <f ca="1" t="shared" si="44"/>
        <v>1.80142415683991</v>
      </c>
      <c r="O277" s="55"/>
      <c r="P277" s="35">
        <f ca="1">IF(ROW()-MATCH(NDVImax,INDEX(D:D,Lig_min,1):INDEX(D:D,Lig_max,1),0)-Lig_min+1&gt;0,MAX(MIN(Zr_min+MAX(INDEX(G:G,Lig_min,1):INDEX(G:G,Lig_max,1))/MAX(MAX(INDEX(G:G,Lig_min,1):INDEX(G:G,Lig_max,1)),Max_fc_pour_Zrmax)*(Zr_max-Zr_min),Zr_max),Ze+0.001),MAX(MIN(Zr_min+G277/MAX(MAX(INDEX(G:G,Lig_min,1):INDEX(G:G,Lig_max,1)),Max_fc_pour_Zrmax)*(Zr_max-Zr_min),Zr_max),Ze+0.001))</f>
        <v>595.55606968994</v>
      </c>
      <c r="Q277" s="35">
        <f ca="1">IF(Z_sol&gt;0,Z_sol-P277,0.1)</f>
        <v>18.318481374494</v>
      </c>
      <c r="R277" s="35">
        <f ca="1">(Wfc-Wwp)*P277</f>
        <v>77.4222890596922</v>
      </c>
      <c r="S277" s="35">
        <f ca="1">(Wfc-Wwp)*Q277</f>
        <v>2.38140257868422</v>
      </c>
      <c r="T277" s="99">
        <f ca="1" t="shared" si="53"/>
        <v>6.59344020763958</v>
      </c>
      <c r="U277" s="99">
        <f ca="1" t="shared" si="54"/>
        <v>2.67343045065715</v>
      </c>
      <c r="V277" s="99">
        <f ca="1">IF(P277&gt;P276,IF(Q277&gt;1,MAX(AI276+(Wfc-Wwp)*(P277-P276)*AJ276/S276,0),AI276/P276*P277),MAX(AI276+(Wfc-Wwp)*(P277-P276)*AI276/R276,0))</f>
        <v>21.8562356694614</v>
      </c>
      <c r="W277" s="99">
        <f ca="1">IF(S277&gt;1,IF(P277&gt;P276,MAX(AJ276-(Wfc-Wwp)*(P277-P276)*AJ276/S276,0),MAX(AJ276-(Wfc-Wwp)*(P277-P276)*AI276/R276,0)),0)</f>
        <v>1.65237217982769e-6</v>
      </c>
      <c r="X277" s="99">
        <f ca="1">IF(AND(OR(AND(dec_vide_TAW&lt;0,V277&gt;R277*(p+0.04*(5-I276))),AND(dec_vide_TAW&gt;0,V277&gt;R277*dec_vide_TAW)),H277&gt;MAX(INDEX(H:H,Lig_min,1):INDEX(H:H,ROW(X277),1))*Kcbmax_stop_irrig*IF(ROW(X277)-lig_kcbmax&gt;0,1,0),MIN(INDEX(H:H,ROW(X277),1):INDEX(H:H,lig_kcbmax,1))&gt;Kcbmin_start_irrig),MIN(MAX(V277-E277*Irri_man-C277,0),Lame_max),0)</f>
        <v>0</v>
      </c>
      <c r="Y277" s="99">
        <f ca="1">MIN(MAX(T277-C277-IF(fw&gt;0,X277/fw*Irri_auto+E277/fw*Irri_man,0),0),TEW)</f>
        <v>6.59344020763958</v>
      </c>
      <c r="Z277" s="99">
        <f ca="1">MIN(MAX(U277-C277,0),TEW)</f>
        <v>2.67343045065715</v>
      </c>
      <c r="AA277" s="99">
        <f ca="1">MIN(MAX(V277-C277-(X277*Irri_auto+E277*Irri_man),0),R277)</f>
        <v>21.8562356694614</v>
      </c>
      <c r="AB277" s="99">
        <f ca="1">MIN(MAX(W277+MIN(V277-C277-(X277*Irri_auto+E277*Irri_man),0),0),S277)</f>
        <v>1.65237217982769e-6</v>
      </c>
      <c r="AC277" s="99">
        <f ca="1">-MIN(W277+MIN(V277-C277-(X277*Irri_auto+E277*Irri_man),0),0)</f>
        <v>0</v>
      </c>
      <c r="AD277" s="39">
        <f ca="1">IF(((R277-AA277)/P277-((Wfc-Wwp)*Ze-Y277)/Ze)/Wfc*DiffE&lt;0,MAX(((R277-AA277)/P277-((Wfc-Wwp)*Ze-Y277)/Ze)/Wfc*DiffE,(R277*Ze-((Wfc-Wwp)*Ze-Y277-AA277)*P277)/(P277+Ze)-AA277),MIN(((R277-AA277)/P277-((Wfc-Wwp)*Ze-Y277)/Ze)/Wfc*DiffE,(R277*Ze-((Wfc-Wwp)*Ze-Y277-AA277)*P277)/(P277+Ze)-AA277))</f>
        <v>4.01216254159504e-8</v>
      </c>
      <c r="AE277" s="39">
        <f ca="1">IF(((R277-AA277)/P277-((Wfc-Wwp)*Ze-Z277)/Ze)/Wfc*DiffE&lt;0,MAX(((R277-AA277)/P277-((Wfc-Wwp)*Ze-Z277)/Ze)/Wfc*DiffE,(R277*Ze-((Wfc-Wwp)*Ze-Z277-AA277)*P277)/(P277+Ze)-AA277),MIN(((R277-AA277)/P277-((Wfc-Wwp)*Ze-Z277)/Ze)/Wfc*DiffE,(R277*Ze-((Wfc-Wwp)*Ze-Z277-AA277)*P277)/(P277+Ze)-AA277))</f>
        <v>-3.82785697236981e-8</v>
      </c>
      <c r="AF277" s="39">
        <f ca="1">IF(((S277-AB277)/Q277-(R277-AA277)/P277)/Wfc*DiffR&lt;0,MAX(((S277-AB277)/Q277-(R277-AA277)/P277)/Wfc*DiffR,(S277*P277-(R277-AA277-AB277)*Q277)/(P277+Q277)-AB277),MIN(((S277-AB277)/Q277-(R277-AA277)/P277)/Wfc*DiffR,(S277*P277-(R277-AA277-AB277)*Q277)/(P277+Q277)-AB277))</f>
        <v>9.17469532306781e-8</v>
      </c>
      <c r="AG277" s="99">
        <f ca="1">MIN(MAX(Y277+IF(AU277&gt;0,B277*AZ277/AU277,0)+BE277-AD277,0),TEW)</f>
        <v>7.82162229124406</v>
      </c>
      <c r="AH277" s="99">
        <f ca="1">MIN(MAX(Z277+IF(AV277&gt;0,B277*BA277/AV277,0)+BF277-AE277,0),TEW)</f>
        <v>3.30155285268849</v>
      </c>
      <c r="AI277" s="99">
        <f ca="1" t="shared" si="45"/>
        <v>23.6576597345544</v>
      </c>
      <c r="AJ277" s="99">
        <f ca="1" t="shared" si="46"/>
        <v>1.74411913305837e-6</v>
      </c>
      <c r="AK277" s="70">
        <f ca="1">IF((AU277+AV277)&gt;0,(TEW-(AG277*AU277+AH277*AV277)/(AU277+AV277))/TEW,(TEW-(AG277+AH277)/2)/TEW)</f>
        <v>0.763875553471878</v>
      </c>
      <c r="AL277" s="70">
        <f ca="1" t="shared" si="47"/>
        <v>0.694433476174872</v>
      </c>
      <c r="AM277" s="70">
        <f ca="1" t="shared" si="48"/>
        <v>0.999999267608447</v>
      </c>
      <c r="AN277" s="70">
        <f ca="1">Wwp+(Wfc-Wwp)*IF((AU277+AV277)&gt;0,(TEW-(AG277*AU277+AH277*AV277)/(AU277+AV277))/TEW,(TEW-(AG277+AH277)/2)/TEW)</f>
        <v>0.369303821951344</v>
      </c>
      <c r="AO277" s="70">
        <f ca="1">Wwp+(Wfc-Wwp)*(R277-AI277)/R277</f>
        <v>0.360276351902733</v>
      </c>
      <c r="AP277" s="70">
        <f ca="1">Wwp+(Wfc-Wwp)*(S277-AJ277)/S277</f>
        <v>0.399999904789098</v>
      </c>
      <c r="AQ277" s="70"/>
      <c r="AR277" s="70"/>
      <c r="AS277" s="70"/>
      <c r="AT277" s="70"/>
      <c r="AU277" s="70">
        <f ca="1">MIN((1-G277),fw)</f>
        <v>0.808</v>
      </c>
      <c r="AV277" s="70">
        <f ca="1" t="shared" si="49"/>
        <v>0</v>
      </c>
      <c r="AW277" s="70">
        <f ca="1">MIN((TEW-Y277)/(TEW-REW),1)</f>
        <v>0.10194382412358</v>
      </c>
      <c r="AX277" s="70">
        <f ca="1">MIN((TEW-Z277)/(TEW-REW),1)</f>
        <v>0.117005915774279</v>
      </c>
      <c r="AY277" s="70">
        <f ca="1">IF((AU277*(TEW-Y277))&gt;0,1/(1+((AV277*(TEW-Z277))/(AU277*(TEW-Y277)))),0)</f>
        <v>1</v>
      </c>
      <c r="AZ277" s="70">
        <f ca="1">MIN((AY277*AW277*(Kcmax-H277)),AU277*Kcmax)</f>
        <v>0.0951706207552491</v>
      </c>
      <c r="BA277" s="70">
        <f ca="1">MIN(((1-AY277)*AX277*(Kcmax-H277)),AV277*Kcmax)</f>
        <v>0</v>
      </c>
      <c r="BB277" s="70">
        <f ca="1" t="shared" si="50"/>
        <v>0.550181358586095</v>
      </c>
      <c r="BC277" s="70">
        <f ca="1">MIN((R277-AA277)/(R277*(1-(p+0.04*(5-I276)))),1)</f>
        <v>1</v>
      </c>
      <c r="BD277" s="10">
        <f ca="1" t="shared" si="51"/>
        <v>1.25124279825382</v>
      </c>
      <c r="BE277" s="70">
        <f ca="1">MIN(IF((1-AA277/R277)&gt;0,(1-Y277/TEW)/(1-AA277/R277)*(Ze/P277)^0.6,0),1)*BC277*H277*B277</f>
        <v>0.547264600723511</v>
      </c>
      <c r="BF277" s="70">
        <f ca="1">MIN(IF((1-AA277/R277)&gt;0,(1-Z277/TEW)/(1-AA277/R277)*(Ze/P277)^0.6,0),1)*BC277*H277*B277</f>
        <v>0.628122363752768</v>
      </c>
      <c r="BH277" s="10">
        <f ca="1" t="shared" si="52"/>
        <v>0.0984804547673493</v>
      </c>
      <c r="BI277" s="10">
        <f ca="1">IF(F277&lt;&gt;"",(Moy_Etobs-F277)^2,"")</f>
        <v>0.014705048062736</v>
      </c>
    </row>
    <row r="278" spans="1:61">
      <c r="A278" s="38">
        <v>39271</v>
      </c>
      <c r="B278" s="10">
        <v>1.454</v>
      </c>
      <c r="C278" s="39">
        <v>1.188</v>
      </c>
      <c r="D278" s="10">
        <v>0.294</v>
      </c>
      <c r="E278" s="39">
        <v>0</v>
      </c>
      <c r="F278" s="10">
        <v>0.8629848</v>
      </c>
      <c r="G278" s="10">
        <f ca="1">MIN(MAX(IF(AND(Durpla&gt;ROW()-MATCH(NDVImax,INDEX(D:D,Lig_min,1):INDEX(D:D,Lig_max,1),0)-Lig_min+1,ROW()-MATCH(NDVImax,INDEX(D:D,Lig_min,1):INDEX(D:D,Lig_max,1),0)-Lig_min+1&gt;0,D278*a_fc+b_fc&gt;fc_fin),NDVImax*a_fc+b_fc,D278*a_fc+b_fc),0),1)</f>
        <v>0.192</v>
      </c>
      <c r="H278" s="55">
        <f>MIN(MAX(D278*a_kcb+b_kcb,0),Kcmax)</f>
        <v>0.216440546316177</v>
      </c>
      <c r="I278" s="70">
        <f ca="1" t="shared" si="44"/>
        <v>0.452873063126467</v>
      </c>
      <c r="O278" s="55"/>
      <c r="P278" s="35">
        <f ca="1">IF(ROW()-MATCH(NDVImax,INDEX(D:D,Lig_min,1):INDEX(D:D,Lig_max,1),0)-Lig_min+1&gt;0,MAX(MIN(Zr_min+MAX(INDEX(G:G,Lig_min,1):INDEX(G:G,Lig_max,1))/MAX(MAX(INDEX(G:G,Lig_min,1):INDEX(G:G,Lig_max,1)),Max_fc_pour_Zrmax)*(Zr_max-Zr_min),Zr_max),Ze+0.001),MAX(MIN(Zr_min+G278/MAX(MAX(INDEX(G:G,Lig_min,1):INDEX(G:G,Lig_max,1)),Max_fc_pour_Zrmax)*(Zr_max-Zr_min),Zr_max),Ze+0.001))</f>
        <v>595.55606968994</v>
      </c>
      <c r="Q278" s="35">
        <f ca="1">IF(Z_sol&gt;0,Z_sol-P278,0.1)</f>
        <v>18.318481374494</v>
      </c>
      <c r="R278" s="35">
        <f ca="1">(Wfc-Wwp)*P278</f>
        <v>77.4222890596922</v>
      </c>
      <c r="S278" s="35">
        <f ca="1">(Wfc-Wwp)*Q278</f>
        <v>2.38140257868422</v>
      </c>
      <c r="T278" s="99">
        <f ca="1" t="shared" si="53"/>
        <v>7.82162229124406</v>
      </c>
      <c r="U278" s="99">
        <f ca="1" t="shared" si="54"/>
        <v>3.30155285268849</v>
      </c>
      <c r="V278" s="99">
        <f ca="1">IF(P278&gt;P277,IF(Q278&gt;1,MAX(AI277+(Wfc-Wwp)*(P278-P277)*AJ277/S277,0),AI277/P277*P278),MAX(AI277+(Wfc-Wwp)*(P278-P277)*AI277/R277,0))</f>
        <v>23.6576597345544</v>
      </c>
      <c r="W278" s="99">
        <f ca="1">IF(S278&gt;1,IF(P278&gt;P277,MAX(AJ277-(Wfc-Wwp)*(P278-P277)*AJ277/S277,0),MAX(AJ277-(Wfc-Wwp)*(P278-P277)*AI277/R277,0)),0)</f>
        <v>1.74411913305837e-6</v>
      </c>
      <c r="X278" s="99">
        <f ca="1">IF(AND(OR(AND(dec_vide_TAW&lt;0,V278&gt;R278*(p+0.04*(5-I277))),AND(dec_vide_TAW&gt;0,V278&gt;R278*dec_vide_TAW)),H278&gt;MAX(INDEX(H:H,Lig_min,1):INDEX(H:H,ROW(X278),1))*Kcbmax_stop_irrig*IF(ROW(X278)-lig_kcbmax&gt;0,1,0),MIN(INDEX(H:H,ROW(X278),1):INDEX(H:H,lig_kcbmax,1))&gt;Kcbmin_start_irrig),MIN(MAX(V278-E278*Irri_man-C278,0),Lame_max),0)</f>
        <v>0</v>
      </c>
      <c r="Y278" s="99">
        <f ca="1">MIN(MAX(T278-C278-IF(fw&gt;0,X278/fw*Irri_auto+E278/fw*Irri_man,0),0),TEW)</f>
        <v>6.63362229124406</v>
      </c>
      <c r="Z278" s="99">
        <f ca="1">MIN(MAX(U278-C278,0),TEW)</f>
        <v>2.11355285268849</v>
      </c>
      <c r="AA278" s="99">
        <f ca="1">MIN(MAX(V278-C278-(X278*Irri_auto+E278*Irri_man),0),R278)</f>
        <v>22.4696597345544</v>
      </c>
      <c r="AB278" s="99">
        <f ca="1">MIN(MAX(W278+MIN(V278-C278-(X278*Irri_auto+E278*Irri_man),0),0),S278)</f>
        <v>1.74411913305837e-6</v>
      </c>
      <c r="AC278" s="99">
        <f ca="1">-MIN(W278+MIN(V278-C278-(X278*Irri_auto+E278*Irri_man),0),0)</f>
        <v>0</v>
      </c>
      <c r="AD278" s="39">
        <f ca="1">IF(((R278-AA278)/P278-((Wfc-Wwp)*Ze-Y278)/Ze)/Wfc*DiffE&lt;0,MAX(((R278-AA278)/P278-((Wfc-Wwp)*Ze-Y278)/Ze)/Wfc*DiffE,(R278*Ze-((Wfc-Wwp)*Ze-Y278-AA278)*P278)/(P278+Ze)-AA278),MIN(((R278-AA278)/P278-((Wfc-Wwp)*Ze-Y278)/Ze)/Wfc*DiffE,(R278*Ze-((Wfc-Wwp)*Ze-Y278-AA278)*P278)/(P278+Ze)-AA278))</f>
        <v>3.83502615750732e-8</v>
      </c>
      <c r="AE278" s="39">
        <f ca="1">IF(((R278-AA278)/P278-((Wfc-Wwp)*Ze-Z278)/Ze)/Wfc*DiffE&lt;0,MAX(((R278-AA278)/P278-((Wfc-Wwp)*Ze-Z278)/Ze)/Wfc*DiffE,(R278*Ze-((Wfc-Wwp)*Ze-Z278-AA278)*P278)/(P278+Ze)-AA278),MIN(((R278-AA278)/P278-((Wfc-Wwp)*Ze-Z278)/Ze)/Wfc*DiffE,(R278*Ze-((Wfc-Wwp)*Ze-Z278-AA278)*P278)/(P278+Ze)-AA278))</f>
        <v>-5.20511271960381e-8</v>
      </c>
      <c r="AF278" s="39">
        <f ca="1">IF(((S278-AB278)/Q278-(R278-AA278)/P278)/Wfc*DiffR&lt;0,MAX(((S278-AB278)/Q278-(R278-AA278)/P278)/Wfc*DiffR,(S278*P278-(R278-AA278-AB278)*Q278)/(P278+Q278)-AB278),MIN(((S278-AB278)/Q278-(R278-AA278)/P278)/Wfc*DiffR,(S278*P278-(R278-AA278-AB278)*Q278)/(P278+Q278)-AB278))</f>
        <v>9.43219462225532e-8</v>
      </c>
      <c r="AG278" s="99">
        <f ca="1">MIN(MAX(Y278+IF(AU278&gt;0,B278*AZ278/AU278,0)+BE278-AD278,0),TEW)</f>
        <v>6.94359306608391</v>
      </c>
      <c r="AH278" s="99">
        <f ca="1">MIN(MAX(Z278+IF(AV278&gt;0,B278*BA278/AV278,0)+BF278-AE278,0),TEW)</f>
        <v>2.27623476101399</v>
      </c>
      <c r="AI278" s="99">
        <f ca="1" t="shared" si="45"/>
        <v>22.9225327033589</v>
      </c>
      <c r="AJ278" s="99">
        <f ca="1" t="shared" si="46"/>
        <v>1.83844107928092e-6</v>
      </c>
      <c r="AK278" s="70">
        <f ca="1">IF((AU278+AV278)&gt;0,(TEW-(AG278*AU278+AH278*AV278)/(AU278+AV278))/TEW,(TEW-(AG278+AH278)/2)/TEW)</f>
        <v>0.790382096118222</v>
      </c>
      <c r="AL278" s="70">
        <f ca="1" t="shared" si="47"/>
        <v>0.703928507129442</v>
      </c>
      <c r="AM278" s="70">
        <f ca="1" t="shared" si="48"/>
        <v>0.999999228000719</v>
      </c>
      <c r="AN278" s="70">
        <f ca="1">Wwp+(Wfc-Wwp)*IF((AU278+AV278)&gt;0,(TEW-(AG278*AU278+AH278*AV278)/(AU278+AV278))/TEW,(TEW-(AG278+AH278)/2)/TEW)</f>
        <v>0.372749672495369</v>
      </c>
      <c r="AO278" s="70">
        <f ca="1">Wwp+(Wfc-Wwp)*(R278-AI278)/R278</f>
        <v>0.361510705926828</v>
      </c>
      <c r="AP278" s="70">
        <f ca="1">Wwp+(Wfc-Wwp)*(S278-AJ278)/S278</f>
        <v>0.399999899640093</v>
      </c>
      <c r="AQ278" s="70"/>
      <c r="AR278" s="70"/>
      <c r="AS278" s="70"/>
      <c r="AT278" s="70"/>
      <c r="AU278" s="70">
        <f ca="1">MIN((1-G278),fw)</f>
        <v>0.808</v>
      </c>
      <c r="AV278" s="70">
        <f ca="1" t="shared" si="49"/>
        <v>0</v>
      </c>
      <c r="AW278" s="70">
        <f ca="1">MIN((TEW-Y278)/(TEW-REW),1)</f>
        <v>0.101789430062471</v>
      </c>
      <c r="AX278" s="70">
        <f ca="1">MIN((TEW-Z278)/(TEW-REW),1)</f>
        <v>0.119157167484496</v>
      </c>
      <c r="AY278" s="70">
        <f ca="1">IF((AU278*(TEW-Y278))&gt;0,1/(1+((AV278*(TEW-Z278))/(AU278*(TEW-Y278)))),0)</f>
        <v>1</v>
      </c>
      <c r="AZ278" s="70">
        <f ca="1">MIN((AY278*AW278*(Kcmax-H278)),AU278*Kcmax)</f>
        <v>0.0950264847199083</v>
      </c>
      <c r="BA278" s="70">
        <f ca="1">MIN(((1-AY278)*AX278*(Kcmax-H278)),AV278*Kcmax)</f>
        <v>0</v>
      </c>
      <c r="BB278" s="70">
        <f ca="1" t="shared" si="50"/>
        <v>0.138168508782747</v>
      </c>
      <c r="BC278" s="70">
        <f ca="1">MIN((R278-AA278)/(R278*(1-(p+0.04*(5-I277)))),1)</f>
        <v>1</v>
      </c>
      <c r="BD278" s="10">
        <f ca="1" t="shared" si="51"/>
        <v>0.314704554343721</v>
      </c>
      <c r="BE278" s="70">
        <f ca="1">MIN(IF((1-AA278/R278)&gt;0,(1-Y278/TEW)/(1-AA278/R278)*(Ze/P278)^0.6,0),1)*BC278*H278*B278</f>
        <v>0.138970183508495</v>
      </c>
      <c r="BF278" s="70">
        <f ca="1">MIN(IF((1-AA278/R278)&gt;0,(1-Z278/TEW)/(1-AA278/R278)*(Ze/P278)^0.6,0),1)*BC278*H278*B278</f>
        <v>0.16268185627437</v>
      </c>
      <c r="BH278" s="10">
        <f ca="1" t="shared" si="52"/>
        <v>0.168191636721426</v>
      </c>
      <c r="BI278" s="10">
        <f ca="1">IF(F278&lt;&gt;"",(Moy_Etobs-F278)^2,"")</f>
        <v>0.556348569318276</v>
      </c>
    </row>
    <row r="279" spans="1:61">
      <c r="A279" s="38">
        <v>39272</v>
      </c>
      <c r="B279" s="10">
        <v>3.302</v>
      </c>
      <c r="C279" s="39">
        <v>3.564</v>
      </c>
      <c r="D279" s="10">
        <v>0.294</v>
      </c>
      <c r="E279" s="39">
        <v>0</v>
      </c>
      <c r="F279" s="10">
        <v>2.0453094</v>
      </c>
      <c r="G279" s="10">
        <f ca="1">MIN(MAX(IF(AND(Durpla&gt;ROW()-MATCH(NDVImax,INDEX(D:D,Lig_min,1):INDEX(D:D,Lig_max,1),0)-Lig_min+1,ROW()-MATCH(NDVImax,INDEX(D:D,Lig_min,1):INDEX(D:D,Lig_max,1),0)-Lig_min+1&gt;0,D279*a_fc+b_fc&gt;fc_fin),NDVImax*a_fc+b_fc,D279*a_fc+b_fc),0),1)</f>
        <v>0.192</v>
      </c>
      <c r="H279" s="55">
        <f>MIN(MAX(D279*a_kcb+b_kcb,0),Kcmax)</f>
        <v>0.216440546316177</v>
      </c>
      <c r="I279" s="70">
        <f ca="1" t="shared" si="44"/>
        <v>1.06700652608442</v>
      </c>
      <c r="O279" s="55"/>
      <c r="P279" s="35">
        <f ca="1">IF(ROW()-MATCH(NDVImax,INDEX(D:D,Lig_min,1):INDEX(D:D,Lig_max,1),0)-Lig_min+1&gt;0,MAX(MIN(Zr_min+MAX(INDEX(G:G,Lig_min,1):INDEX(G:G,Lig_max,1))/MAX(MAX(INDEX(G:G,Lig_min,1):INDEX(G:G,Lig_max,1)),Max_fc_pour_Zrmax)*(Zr_max-Zr_min),Zr_max),Ze+0.001),MAX(MIN(Zr_min+G279/MAX(MAX(INDEX(G:G,Lig_min,1):INDEX(G:G,Lig_max,1)),Max_fc_pour_Zrmax)*(Zr_max-Zr_min),Zr_max),Ze+0.001))</f>
        <v>595.55606968994</v>
      </c>
      <c r="Q279" s="35">
        <f ca="1">IF(Z_sol&gt;0,Z_sol-P279,0.1)</f>
        <v>18.318481374494</v>
      </c>
      <c r="R279" s="35">
        <f ca="1">(Wfc-Wwp)*P279</f>
        <v>77.4222890596922</v>
      </c>
      <c r="S279" s="35">
        <f ca="1">(Wfc-Wwp)*Q279</f>
        <v>2.38140257868422</v>
      </c>
      <c r="T279" s="99">
        <f ca="1" t="shared" si="53"/>
        <v>6.94359306608391</v>
      </c>
      <c r="U279" s="99">
        <f ca="1" t="shared" si="54"/>
        <v>2.27623476101399</v>
      </c>
      <c r="V279" s="99">
        <f ca="1">IF(P279&gt;P278,IF(Q279&gt;1,MAX(AI278+(Wfc-Wwp)*(P279-P278)*AJ278/S278,0),AI278/P278*P279),MAX(AI278+(Wfc-Wwp)*(P279-P278)*AI278/R278,0))</f>
        <v>22.9225327033589</v>
      </c>
      <c r="W279" s="99">
        <f ca="1">IF(S279&gt;1,IF(P279&gt;P278,MAX(AJ278-(Wfc-Wwp)*(P279-P278)*AJ278/S278,0),MAX(AJ278-(Wfc-Wwp)*(P279-P278)*AI278/R278,0)),0)</f>
        <v>1.83844107928092e-6</v>
      </c>
      <c r="X279" s="99">
        <f ca="1">IF(AND(OR(AND(dec_vide_TAW&lt;0,V279&gt;R279*(p+0.04*(5-I278))),AND(dec_vide_TAW&gt;0,V279&gt;R279*dec_vide_TAW)),H279&gt;MAX(INDEX(H:H,Lig_min,1):INDEX(H:H,ROW(X279),1))*Kcbmax_stop_irrig*IF(ROW(X279)-lig_kcbmax&gt;0,1,0),MIN(INDEX(H:H,ROW(X279),1):INDEX(H:H,lig_kcbmax,1))&gt;Kcbmin_start_irrig),MIN(MAX(V279-E279*Irri_man-C279,0),Lame_max),0)</f>
        <v>0</v>
      </c>
      <c r="Y279" s="99">
        <f ca="1">MIN(MAX(T279-C279-IF(fw&gt;0,X279/fw*Irri_auto+E279/fw*Irri_man,0),0),TEW)</f>
        <v>3.37959306608391</v>
      </c>
      <c r="Z279" s="99">
        <f ca="1">MIN(MAX(U279-C279,0),TEW)</f>
        <v>0</v>
      </c>
      <c r="AA279" s="99">
        <f ca="1">MIN(MAX(V279-C279-(X279*Irri_auto+E279*Irri_man),0),R279)</f>
        <v>19.3585327033589</v>
      </c>
      <c r="AB279" s="99">
        <f ca="1">MIN(MAX(W279+MIN(V279-C279-(X279*Irri_auto+E279*Irri_man),0),0),S279)</f>
        <v>1.83844107928092e-6</v>
      </c>
      <c r="AC279" s="99">
        <f ca="1">-MIN(W279+MIN(V279-C279-(X279*Irri_auto+E279*Irri_man),0),0)</f>
        <v>0</v>
      </c>
      <c r="AD279" s="39">
        <f ca="1">IF(((R279-AA279)/P279-((Wfc-Wwp)*Ze-Y279)/Ze)/Wfc*DiffE&lt;0,MAX(((R279-AA279)/P279-((Wfc-Wwp)*Ze-Y279)/Ze)/Wfc*DiffE,(R279*Ze-((Wfc-Wwp)*Ze-Y279-AA279)*P279)/(P279+Ze)-AA279),MIN(((R279-AA279)/P279-((Wfc-Wwp)*Ze-Y279)/Ze)/Wfc*DiffE,(R279*Ze-((Wfc-Wwp)*Ze-Y279-AA279)*P279)/(P279+Ze)-AA279))</f>
        <v>-1.3670565881177e-8</v>
      </c>
      <c r="AE279" s="39">
        <f ca="1">IF(((R279-AA279)/P279-((Wfc-Wwp)*Ze-Z279)/Ze)/Wfc*DiffE&lt;0,MAX(((R279-AA279)/P279-((Wfc-Wwp)*Ze-Z279)/Ze)/Wfc*DiffE,(R279*Ze-((Wfc-Wwp)*Ze-Z279-AA279)*P279)/(P279+Ze)-AA279),MIN(((R279-AA279)/P279-((Wfc-Wwp)*Ze-Z279)/Ze)/Wfc*DiffE,(R279*Ze-((Wfc-Wwp)*Ze-Z279-AA279)*P279)/(P279+Ze)-AA279))</f>
        <v>-8.12624272028552e-8</v>
      </c>
      <c r="AF279" s="39">
        <f ca="1">IF(((S279-AB279)/Q279-(R279-AA279)/P279)/Wfc*DiffR&lt;0,MAX(((S279-AB279)/Q279-(R279-AA279)/P279)/Wfc*DiffR,(S279*P279-(R279-AA279-AB279)*Q279)/(P279+Q279)-AB279),MIN(((S279-AB279)/Q279-(R279-AA279)/P279)/Wfc*DiffR,(S279*P279-(R279-AA279-AB279)*Q279)/(P279+Q279)-AB279))</f>
        <v>8.12621763030887e-8</v>
      </c>
      <c r="AG279" s="99">
        <f ca="1">MIN(MAX(Y279+IF(AU279&gt;0,B279*AZ279/AU279,0)+BE279-AD279,0),TEW)</f>
        <v>4.15100928467242</v>
      </c>
      <c r="AH279" s="99">
        <f ca="1">MIN(MAX(Z279+IF(AV279&gt;0,B279*BA279/AV279,0)+BF279-AE279,0),TEW)</f>
        <v>0.373481486399336</v>
      </c>
      <c r="AI279" s="99">
        <f ca="1" t="shared" si="45"/>
        <v>20.4255391481812</v>
      </c>
      <c r="AJ279" s="99">
        <f ca="1" t="shared" si="46"/>
        <v>1.91970325558401e-6</v>
      </c>
      <c r="AK279" s="70">
        <f ca="1">IF((AU279+AV279)&gt;0,(TEW-(AG279*AU279+AH279*AV279)/(AU279+AV279))/TEW,(TEW-(AG279+AH279)/2)/TEW)</f>
        <v>0.874686512160833</v>
      </c>
      <c r="AL279" s="70">
        <f ca="1" t="shared" si="47"/>
        <v>0.736180118203</v>
      </c>
      <c r="AM279" s="70">
        <f ca="1" t="shared" si="48"/>
        <v>0.999999193877057</v>
      </c>
      <c r="AN279" s="70">
        <f ca="1">Wwp+(Wfc-Wwp)*IF((AU279+AV279)&gt;0,(TEW-(AG279*AU279+AH279*AV279)/(AU279+AV279))/TEW,(TEW-(AG279+AH279)/2)/TEW)</f>
        <v>0.383709246580908</v>
      </c>
      <c r="AO279" s="70">
        <f ca="1">Wwp+(Wfc-Wwp)*(R279-AI279)/R279</f>
        <v>0.36570341536639</v>
      </c>
      <c r="AP279" s="70">
        <f ca="1">Wwp+(Wfc-Wwp)*(S279-AJ279)/S279</f>
        <v>0.399999895204017</v>
      </c>
      <c r="AQ279" s="70"/>
      <c r="AR279" s="70"/>
      <c r="AS279" s="70"/>
      <c r="AT279" s="70"/>
      <c r="AU279" s="70">
        <f ca="1">MIN((1-G279),fw)</f>
        <v>0.808</v>
      </c>
      <c r="AV279" s="70">
        <f ca="1" t="shared" si="49"/>
        <v>0</v>
      </c>
      <c r="AW279" s="70">
        <f ca="1">MIN((TEW-Y279)/(TEW-REW),1)</f>
        <v>0.114292584253889</v>
      </c>
      <c r="AX279" s="70">
        <f ca="1">MIN((TEW-Z279)/(TEW-REW),1)</f>
        <v>0.12727820001996</v>
      </c>
      <c r="AY279" s="70">
        <f ca="1">IF((AU279*(TEW-Y279))&gt;0,1/(1+((AV279*(TEW-Z279))/(AU279*(TEW-Y279)))),0)</f>
        <v>1</v>
      </c>
      <c r="AZ279" s="70">
        <f ca="1">MIN((AY279*AW279*(Kcmax-H279)),AU279*Kcmax)</f>
        <v>0.106698922516173</v>
      </c>
      <c r="BA279" s="70">
        <f ca="1">MIN(((1-AY279)*AX279*(Kcmax-H279)),AV279*Kcmax)</f>
        <v>0</v>
      </c>
      <c r="BB279" s="70">
        <f ca="1" t="shared" si="50"/>
        <v>0.352319842148404</v>
      </c>
      <c r="BC279" s="70">
        <f ca="1">MIN((R279-AA279)/(R279*(1-(p+0.04*(5-I278)))),1)</f>
        <v>1</v>
      </c>
      <c r="BD279" s="10">
        <f ca="1" t="shared" si="51"/>
        <v>0.714686683936015</v>
      </c>
      <c r="BE279" s="70">
        <f ca="1">MIN(IF((1-AA279/R279)&gt;0,(1-Y279/TEW)/(1-AA279/R279)*(Ze/P279)^0.6,0),1)*BC279*H279*B279</f>
        <v>0.335376796318434</v>
      </c>
      <c r="BF279" s="70">
        <f ca="1">MIN(IF((1-AA279/R279)&gt;0,(1-Z279/TEW)/(1-AA279/R279)*(Ze/P279)^0.6,0),1)*BC279*H279*B279</f>
        <v>0.373481405136909</v>
      </c>
      <c r="BH279" s="10">
        <f ca="1" t="shared" si="52"/>
        <v>0.957076513111484</v>
      </c>
      <c r="BI279" s="10">
        <f ca="1">IF(F279&lt;&gt;"",(Moy_Etobs-F279)^2,"")</f>
        <v>0.190477104308586</v>
      </c>
    </row>
    <row r="280" spans="1:61">
      <c r="A280" s="38">
        <v>39273</v>
      </c>
      <c r="B280" s="10">
        <v>4.191</v>
      </c>
      <c r="C280" s="39">
        <v>4.158</v>
      </c>
      <c r="D280" s="10">
        <v>0.293</v>
      </c>
      <c r="E280" s="39">
        <v>0</v>
      </c>
      <c r="F280" s="10">
        <v>1.8421848</v>
      </c>
      <c r="G280" s="10">
        <f ca="1">MIN(MAX(IF(AND(Durpla&gt;ROW()-MATCH(NDVImax,INDEX(D:D,Lig_min,1):INDEX(D:D,Lig_max,1),0)-Lig_min+1,ROW()-MATCH(NDVImax,INDEX(D:D,Lig_min,1):INDEX(D:D,Lig_max,1),0)-Lig_min+1&gt;0,D280*a_fc+b_fc&gt;fc_fin),NDVImax*a_fc+b_fc,D280*a_fc+b_fc),0),1)</f>
        <v>0.190666666666667</v>
      </c>
      <c r="H280" s="55">
        <f>MIN(MAX(D280*a_kcb+b_kcb,0),Kcmax)</f>
        <v>0.214937486966759</v>
      </c>
      <c r="I280" s="70">
        <f ca="1" t="shared" si="44"/>
        <v>1.39958679918865</v>
      </c>
      <c r="O280" s="55"/>
      <c r="P280" s="35">
        <f ca="1">IF(ROW()-MATCH(NDVImax,INDEX(D:D,Lig_min,1):INDEX(D:D,Lig_max,1),0)-Lig_min+1&gt;0,MAX(MIN(Zr_min+MAX(INDEX(G:G,Lig_min,1):INDEX(G:G,Lig_max,1))/MAX(MAX(INDEX(G:G,Lig_min,1):INDEX(G:G,Lig_max,1)),Max_fc_pour_Zrmax)*(Zr_max-Zr_min),Zr_max),Ze+0.001),MAX(MIN(Zr_min+G280/MAX(MAX(INDEX(G:G,Lig_min,1):INDEX(G:G,Lig_max,1)),Max_fc_pour_Zrmax)*(Zr_max-Zr_min),Zr_max),Ze+0.001))</f>
        <v>595.55606968994</v>
      </c>
      <c r="Q280" s="35">
        <f ca="1">IF(Z_sol&gt;0,Z_sol-P280,0.1)</f>
        <v>18.318481374494</v>
      </c>
      <c r="R280" s="35">
        <f ca="1">(Wfc-Wwp)*P280</f>
        <v>77.4222890596922</v>
      </c>
      <c r="S280" s="35">
        <f ca="1">(Wfc-Wwp)*Q280</f>
        <v>2.38140257868422</v>
      </c>
      <c r="T280" s="99">
        <f ca="1" t="shared" si="53"/>
        <v>4.15100928467242</v>
      </c>
      <c r="U280" s="99">
        <f ca="1" t="shared" si="54"/>
        <v>0.373481486399336</v>
      </c>
      <c r="V280" s="99">
        <f ca="1">IF(P280&gt;P279,IF(Q280&gt;1,MAX(AI279+(Wfc-Wwp)*(P280-P279)*AJ279/S279,0),AI279/P279*P280),MAX(AI279+(Wfc-Wwp)*(P280-P279)*AI279/R279,0))</f>
        <v>20.4255391481812</v>
      </c>
      <c r="W280" s="99">
        <f ca="1">IF(S280&gt;1,IF(P280&gt;P279,MAX(AJ279-(Wfc-Wwp)*(P280-P279)*AJ279/S279,0),MAX(AJ279-(Wfc-Wwp)*(P280-P279)*AI279/R279,0)),0)</f>
        <v>1.91970325558401e-6</v>
      </c>
      <c r="X280" s="99">
        <f ca="1">IF(AND(OR(AND(dec_vide_TAW&lt;0,V280&gt;R280*(p+0.04*(5-I279))),AND(dec_vide_TAW&gt;0,V280&gt;R280*dec_vide_TAW)),H280&gt;MAX(INDEX(H:H,Lig_min,1):INDEX(H:H,ROW(X280),1))*Kcbmax_stop_irrig*IF(ROW(X280)-lig_kcbmax&gt;0,1,0),MIN(INDEX(H:H,ROW(X280),1):INDEX(H:H,lig_kcbmax,1))&gt;Kcbmin_start_irrig),MIN(MAX(V280-E280*Irri_man-C280,0),Lame_max),0)</f>
        <v>0</v>
      </c>
      <c r="Y280" s="99">
        <f ca="1">MIN(MAX(T280-C280-IF(fw&gt;0,X280/fw*Irri_auto+E280/fw*Irri_man,0),0),TEW)</f>
        <v>0</v>
      </c>
      <c r="Z280" s="99">
        <f ca="1">MIN(MAX(U280-C280,0),TEW)</f>
        <v>0</v>
      </c>
      <c r="AA280" s="99">
        <f ca="1">MIN(MAX(V280-C280-(X280*Irri_auto+E280*Irri_man),0),R280)</f>
        <v>16.2675391481812</v>
      </c>
      <c r="AB280" s="99">
        <f ca="1">MIN(MAX(W280+MIN(V280-C280-(X280*Irri_auto+E280*Irri_man),0),0),S280)</f>
        <v>1.91970325558401e-6</v>
      </c>
      <c r="AC280" s="99">
        <f ca="1">-MIN(W280+MIN(V280-C280-(X280*Irri_auto+E280*Irri_man),0),0)</f>
        <v>0</v>
      </c>
      <c r="AD280" s="39">
        <f ca="1">IF(((R280-AA280)/P280-((Wfc-Wwp)*Ze-Y280)/Ze)/Wfc*DiffE&lt;0,MAX(((R280-AA280)/P280-((Wfc-Wwp)*Ze-Y280)/Ze)/Wfc*DiffE,(R280*Ze-((Wfc-Wwp)*Ze-Y280-AA280)*P280)/(P280+Ze)-AA280),MIN(((R280-AA280)/P280-((Wfc-Wwp)*Ze-Y280)/Ze)/Wfc*DiffE,(R280*Ze-((Wfc-Wwp)*Ze-Y280-AA280)*P280)/(P280+Ze)-AA280))</f>
        <v>-6.82871856072696e-8</v>
      </c>
      <c r="AE280" s="39">
        <f ca="1">IF(((R280-AA280)/P280-((Wfc-Wwp)*Ze-Z280)/Ze)/Wfc*DiffE&lt;0,MAX(((R280-AA280)/P280-((Wfc-Wwp)*Ze-Z280)/Ze)/Wfc*DiffE,(R280*Ze-((Wfc-Wwp)*Ze-Z280-AA280)*P280)/(P280+Ze)-AA280),MIN(((R280-AA280)/P280-((Wfc-Wwp)*Ze-Z280)/Ze)/Wfc*DiffE,(R280*Ze-((Wfc-Wwp)*Ze-Z280-AA280)*P280)/(P280+Ze)-AA280))</f>
        <v>-6.82871856072696e-8</v>
      </c>
      <c r="AF280" s="39">
        <f ca="1">IF(((S280-AB280)/Q280-(R280-AA280)/P280)/Wfc*DiffR&lt;0,MAX(((S280-AB280)/Q280-(R280-AA280)/P280)/Wfc*DiffR,(S280*P280-(R280-AA280-AB280)*Q280)/(P280+Q280)-AB280),MIN(((S280-AB280)/Q280-(R280-AA280)/P280)/Wfc*DiffR,(S280*P280-(R280-AA280-AB280)*Q280)/(P280+Q280)-AB280))</f>
        <v>6.82869236173131e-8</v>
      </c>
      <c r="AG280" s="99">
        <f ca="1">MIN(MAX(Y280+IF(AU280&gt;0,B280*AZ280/AU280,0)+BE280-AD280,0),TEW)</f>
        <v>1.06323884892695</v>
      </c>
      <c r="AH280" s="99">
        <f ca="1">MIN(MAX(Z280+IF(AV280&gt;0,B280*BA280/AV280,0)+BF280-AE280,0),TEW)</f>
        <v>0.446949156203352</v>
      </c>
      <c r="AI280" s="99">
        <f ca="1" t="shared" si="45"/>
        <v>17.6671258790829</v>
      </c>
      <c r="AJ280" s="99">
        <f ca="1" t="shared" si="46"/>
        <v>1.98799017920132e-6</v>
      </c>
      <c r="AK280" s="70">
        <f ca="1">IF((AU280+AV280)&gt;0,(TEW-(AG280*AU280+AH280*AV280)/(AU280+AV280))/TEW,(TEW-(AG280+AH280)/2)/TEW)</f>
        <v>0.96790222342862</v>
      </c>
      <c r="AL280" s="70">
        <f ca="1" t="shared" si="47"/>
        <v>0.771808272609176</v>
      </c>
      <c r="AM280" s="70">
        <f ca="1" t="shared" si="48"/>
        <v>0.999999165201971</v>
      </c>
      <c r="AN280" s="70">
        <f ca="1">Wwp+(Wfc-Wwp)*IF((AU280+AV280)&gt;0,(TEW-(AG280*AU280+AH280*AV280)/(AU280+AV280))/TEW,(TEW-(AG280+AH280)/2)/TEW)</f>
        <v>0.395827289045721</v>
      </c>
      <c r="AO280" s="70">
        <f ca="1">Wwp+(Wfc-Wwp)*(R280-AI280)/R280</f>
        <v>0.370335075439193</v>
      </c>
      <c r="AP280" s="70">
        <f ca="1">Wwp+(Wfc-Wwp)*(S280-AJ280)/S280</f>
        <v>0.399999891476256</v>
      </c>
      <c r="AQ280" s="70"/>
      <c r="AR280" s="70"/>
      <c r="AS280" s="70"/>
      <c r="AT280" s="70"/>
      <c r="AU280" s="70">
        <f ca="1">MIN((1-G280),fw)</f>
        <v>0.809333333333333</v>
      </c>
      <c r="AV280" s="70">
        <f ca="1" t="shared" si="49"/>
        <v>0</v>
      </c>
      <c r="AW280" s="70">
        <f ca="1">MIN((TEW-Y280)/(TEW-REW),1)</f>
        <v>0.12727820001996</v>
      </c>
      <c r="AX280" s="70">
        <f ca="1">MIN((TEW-Z280)/(TEW-REW),1)</f>
        <v>0.12727820001996</v>
      </c>
      <c r="AY280" s="70">
        <f ca="1">IF((AU280*(TEW-Y280))&gt;0,1/(1+((AV280*(TEW-Z280))/(AU280*(TEW-Y280)))),0)</f>
        <v>1</v>
      </c>
      <c r="AZ280" s="70">
        <f ca="1">MIN((AY280*AW280*(Kcmax-H280)),AU280*Kcmax)</f>
        <v>0.119013073565012</v>
      </c>
      <c r="BA280" s="70">
        <f ca="1">MIN(((1-AY280)*AX280*(Kcmax-H280)),AV280*Kcmax)</f>
        <v>0</v>
      </c>
      <c r="BB280" s="70">
        <f ca="1" t="shared" si="50"/>
        <v>0.498783791310964</v>
      </c>
      <c r="BC280" s="70">
        <f ca="1">MIN((R280-AA280)/(R280*(1-(p+0.04*(5-I279)))),1)</f>
        <v>1</v>
      </c>
      <c r="BD280" s="10">
        <f ca="1" t="shared" si="51"/>
        <v>0.900803007877686</v>
      </c>
      <c r="BE280" s="70">
        <f ca="1">MIN(IF((1-AA280/R280)&gt;0,(1-Y280/TEW)/(1-AA280/R280)*(Ze/P280)^0.6,0),1)*BC280*H280*B280</f>
        <v>0.446949087916166</v>
      </c>
      <c r="BF280" s="70">
        <f ca="1">MIN(IF((1-AA280/R280)&gt;0,(1-Z280/TEW)/(1-AA280/R280)*(Ze/P280)^0.6,0),1)*BC280*H280*B280</f>
        <v>0.446949087916166</v>
      </c>
      <c r="BH280" s="10">
        <f ca="1" t="shared" si="52"/>
        <v>0.195892990322204</v>
      </c>
      <c r="BI280" s="10">
        <f ca="1">IF(F280&lt;&gt;"",(Moy_Etobs-F280)^2,"")</f>
        <v>0.0544345954530711</v>
      </c>
    </row>
    <row r="281" spans="1:61">
      <c r="A281" s="38">
        <v>39274</v>
      </c>
      <c r="B281" s="10">
        <v>2.928</v>
      </c>
      <c r="C281" s="39">
        <v>2.574</v>
      </c>
      <c r="D281" s="10">
        <v>0.293</v>
      </c>
      <c r="E281" s="39">
        <v>0</v>
      </c>
      <c r="F281" s="10">
        <v>2.0442006</v>
      </c>
      <c r="G281" s="10">
        <f ca="1">MIN(MAX(IF(AND(Durpla&gt;ROW()-MATCH(NDVImax,INDEX(D:D,Lig_min,1):INDEX(D:D,Lig_max,1),0)-Lig_min+1,ROW()-MATCH(NDVImax,INDEX(D:D,Lig_min,1):INDEX(D:D,Lig_max,1),0)-Lig_min+1&gt;0,D281*a_fc+b_fc&gt;fc_fin),NDVImax*a_fc+b_fc,D281*a_fc+b_fc),0),1)</f>
        <v>0.190666666666667</v>
      </c>
      <c r="H281" s="55">
        <f>MIN(MAX(D281*a_kcb+b_kcb,0),Kcmax)</f>
        <v>0.214937486966759</v>
      </c>
      <c r="I281" s="70">
        <f ca="1" t="shared" si="44"/>
        <v>0.977807241237024</v>
      </c>
      <c r="O281" s="55"/>
      <c r="P281" s="35">
        <f ca="1">IF(ROW()-MATCH(NDVImax,INDEX(D:D,Lig_min,1):INDEX(D:D,Lig_max,1),0)-Lig_min+1&gt;0,MAX(MIN(Zr_min+MAX(INDEX(G:G,Lig_min,1):INDEX(G:G,Lig_max,1))/MAX(MAX(INDEX(G:G,Lig_min,1):INDEX(G:G,Lig_max,1)),Max_fc_pour_Zrmax)*(Zr_max-Zr_min),Zr_max),Ze+0.001),MAX(MIN(Zr_min+G281/MAX(MAX(INDEX(G:G,Lig_min,1):INDEX(G:G,Lig_max,1)),Max_fc_pour_Zrmax)*(Zr_max-Zr_min),Zr_max),Ze+0.001))</f>
        <v>595.55606968994</v>
      </c>
      <c r="Q281" s="35">
        <f ca="1">IF(Z_sol&gt;0,Z_sol-P281,0.1)</f>
        <v>18.318481374494</v>
      </c>
      <c r="R281" s="35">
        <f ca="1">(Wfc-Wwp)*P281</f>
        <v>77.4222890596922</v>
      </c>
      <c r="S281" s="35">
        <f ca="1">(Wfc-Wwp)*Q281</f>
        <v>2.38140257868422</v>
      </c>
      <c r="T281" s="99">
        <f ca="1" t="shared" si="53"/>
        <v>1.06323884892695</v>
      </c>
      <c r="U281" s="99">
        <f ca="1" t="shared" si="54"/>
        <v>0.446949156203352</v>
      </c>
      <c r="V281" s="99">
        <f ca="1">IF(P281&gt;P280,IF(Q281&gt;1,MAX(AI280+(Wfc-Wwp)*(P281-P280)*AJ280/S280,0),AI280/P280*P281),MAX(AI280+(Wfc-Wwp)*(P281-P280)*AI280/R280,0))</f>
        <v>17.6671258790829</v>
      </c>
      <c r="W281" s="99">
        <f ca="1">IF(S281&gt;1,IF(P281&gt;P280,MAX(AJ280-(Wfc-Wwp)*(P281-P280)*AJ280/S280,0),MAX(AJ280-(Wfc-Wwp)*(P281-P280)*AI280/R280,0)),0)</f>
        <v>1.98799017920132e-6</v>
      </c>
      <c r="X281" s="99">
        <f ca="1">IF(AND(OR(AND(dec_vide_TAW&lt;0,V281&gt;R281*(p+0.04*(5-I280))),AND(dec_vide_TAW&gt;0,V281&gt;R281*dec_vide_TAW)),H281&gt;MAX(INDEX(H:H,Lig_min,1):INDEX(H:H,ROW(X281),1))*Kcbmax_stop_irrig*IF(ROW(X281)-lig_kcbmax&gt;0,1,0),MIN(INDEX(H:H,ROW(X281),1):INDEX(H:H,lig_kcbmax,1))&gt;Kcbmin_start_irrig),MIN(MAX(V281-E281*Irri_man-C281,0),Lame_max),0)</f>
        <v>0</v>
      </c>
      <c r="Y281" s="99">
        <f ca="1">MIN(MAX(T281-C281-IF(fw&gt;0,X281/fw*Irri_auto+E281/fw*Irri_man,0),0),TEW)</f>
        <v>0</v>
      </c>
      <c r="Z281" s="99">
        <f ca="1">MIN(MAX(U281-C281,0),TEW)</f>
        <v>0</v>
      </c>
      <c r="AA281" s="99">
        <f ca="1">MIN(MAX(V281-C281-(X281*Irri_auto+E281*Irri_man),0),R281)</f>
        <v>15.0931258790829</v>
      </c>
      <c r="AB281" s="99">
        <f ca="1">MIN(MAX(W281+MIN(V281-C281-(X281*Irri_auto+E281*Irri_man),0),0),S281)</f>
        <v>1.98799017920132e-6</v>
      </c>
      <c r="AC281" s="99">
        <f ca="1">-MIN(W281+MIN(V281-C281-(X281*Irri_auto+E281*Irri_man),0),0)</f>
        <v>0</v>
      </c>
      <c r="AD281" s="39">
        <f ca="1">IF(((R281-AA281)/P281-((Wfc-Wwp)*Ze-Y281)/Ze)/Wfc*DiffE&lt;0,MAX(((R281-AA281)/P281-((Wfc-Wwp)*Ze-Y281)/Ze)/Wfc*DiffE,(R281*Ze-((Wfc-Wwp)*Ze-Y281-AA281)*P281)/(P281+Ze)-AA281),MIN(((R281-AA281)/P281-((Wfc-Wwp)*Ze-Y281)/Ze)/Wfc*DiffE,(R281*Ze-((Wfc-Wwp)*Ze-Y281-AA281)*P281)/(P281+Ze)-AA281))</f>
        <v>-6.33572834164074e-8</v>
      </c>
      <c r="AE281" s="39">
        <f ca="1">IF(((R281-AA281)/P281-((Wfc-Wwp)*Ze-Z281)/Ze)/Wfc*DiffE&lt;0,MAX(((R281-AA281)/P281-((Wfc-Wwp)*Ze-Z281)/Ze)/Wfc*DiffE,(R281*Ze-((Wfc-Wwp)*Ze-Z281-AA281)*P281)/(P281+Ze)-AA281),MIN(((R281-AA281)/P281-((Wfc-Wwp)*Ze-Z281)/Ze)/Wfc*DiffE,(R281*Ze-((Wfc-Wwp)*Ze-Z281-AA281)*P281)/(P281+Ze)-AA281))</f>
        <v>-6.33572834164074e-8</v>
      </c>
      <c r="AF281" s="39">
        <f ca="1">IF(((S281-AB281)/Q281-(R281-AA281)/P281)/Wfc*DiffR&lt;0,MAX(((S281-AB281)/Q281-(R281-AA281)/P281)/Wfc*DiffR,(S281*P281-(R281-AA281-AB281)*Q281)/(P281+Q281)-AB281),MIN(((S281-AB281)/Q281-(R281-AA281)/P281)/Wfc*DiffR,(S281*P281-(R281-AA281-AB281)*Q281)/(P281+Q281)-AB281))</f>
        <v>6.3357012107048e-8</v>
      </c>
      <c r="AG281" s="99">
        <f ca="1">MIN(MAX(Y281+IF(AU281&gt;0,B281*AZ281/AU281,0)+BE281-AD281,0),TEW)</f>
        <v>0.736937571530023</v>
      </c>
      <c r="AH281" s="99">
        <f ca="1">MIN(MAX(Z281+IF(AV281&gt;0,B281*BA281/AV281,0)+BF281-AE281,0),TEW)</f>
        <v>0.30637297589779</v>
      </c>
      <c r="AI281" s="99">
        <f ca="1" t="shared" si="45"/>
        <v>16.0709330569629</v>
      </c>
      <c r="AJ281" s="99">
        <f ca="1" t="shared" si="46"/>
        <v>2.05134719130837e-6</v>
      </c>
      <c r="AK281" s="70">
        <f ca="1">IF((AU281+AV281)&gt;0,(TEW-(AG281*AU281+AH281*AV281)/(AU281+AV281))/TEW,(TEW-(AG281+AH281)/2)/TEW)</f>
        <v>0.977752828029282</v>
      </c>
      <c r="AL281" s="70">
        <f ca="1" t="shared" si="47"/>
        <v>0.79242498184764</v>
      </c>
      <c r="AM281" s="70">
        <f ca="1" t="shared" si="48"/>
        <v>0.999999138597056</v>
      </c>
      <c r="AN281" s="70">
        <f ca="1">Wwp+(Wfc-Wwp)*IF((AU281+AV281)&gt;0,(TEW-(AG281*AU281+AH281*AV281)/(AU281+AV281))/TEW,(TEW-(AG281+AH281)/2)/TEW)</f>
        <v>0.397107867643807</v>
      </c>
      <c r="AO281" s="70">
        <f ca="1">Wwp+(Wfc-Wwp)*(R281-AI281)/R281</f>
        <v>0.373015247640193</v>
      </c>
      <c r="AP281" s="70">
        <f ca="1">Wwp+(Wfc-Wwp)*(S281-AJ281)/S281</f>
        <v>0.399999888017617</v>
      </c>
      <c r="AQ281" s="70"/>
      <c r="AR281" s="70"/>
      <c r="AS281" s="70"/>
      <c r="AT281" s="70"/>
      <c r="AU281" s="70">
        <f ca="1">MIN((1-G281),fw)</f>
        <v>0.809333333333333</v>
      </c>
      <c r="AV281" s="70">
        <f ca="1" t="shared" si="49"/>
        <v>0</v>
      </c>
      <c r="AW281" s="70">
        <f ca="1">MIN((TEW-Y281)/(TEW-REW),1)</f>
        <v>0.12727820001996</v>
      </c>
      <c r="AX281" s="70">
        <f ca="1">MIN((TEW-Z281)/(TEW-REW),1)</f>
        <v>0.12727820001996</v>
      </c>
      <c r="AY281" s="70">
        <f ca="1">IF((AU281*(TEW-Y281))&gt;0,1/(1+((AV281*(TEW-Z281))/(AU281*(TEW-Y281)))),0)</f>
        <v>1</v>
      </c>
      <c r="AZ281" s="70">
        <f ca="1">MIN((AY281*AW281*(Kcmax-H281)),AU281*Kcmax)</f>
        <v>0.119013073565012</v>
      </c>
      <c r="BA281" s="70">
        <f ca="1">MIN(((1-AY281)*AX281*(Kcmax-H281)),AV281*Kcmax)</f>
        <v>0</v>
      </c>
      <c r="BB281" s="70">
        <f ca="1" t="shared" si="50"/>
        <v>0.348470279398354</v>
      </c>
      <c r="BC281" s="70">
        <f ca="1">MIN((R281-AA281)/(R281*(1-(p+0.04*(5-I280)))),1)</f>
        <v>1</v>
      </c>
      <c r="BD281" s="10">
        <f ca="1" t="shared" si="51"/>
        <v>0.62933696183867</v>
      </c>
      <c r="BE281" s="70">
        <f ca="1">MIN(IF((1-AA281/R281)&gt;0,(1-Y281/TEW)/(1-AA281/R281)*(Ze/P281)^0.6,0),1)*BC281*H281*B281</f>
        <v>0.306372912540507</v>
      </c>
      <c r="BF281" s="70">
        <f ca="1">MIN(IF((1-AA281/R281)&gt;0,(1-Z281/TEW)/(1-AA281/R281)*(Ze/P281)^0.6,0),1)*BC281*H281*B281</f>
        <v>0.306372912540507</v>
      </c>
      <c r="BH281" s="10">
        <f ca="1" t="shared" si="52"/>
        <v>1.13719479561378</v>
      </c>
      <c r="BI281" s="10">
        <f ca="1">IF(F281&lt;&gt;"",(Moy_Etobs-F281)^2,"")</f>
        <v>0.18951049143759</v>
      </c>
    </row>
    <row r="282" spans="1:61">
      <c r="A282" s="38">
        <v>39275</v>
      </c>
      <c r="B282" s="10">
        <v>4.885</v>
      </c>
      <c r="C282" s="39">
        <v>0.198</v>
      </c>
      <c r="D282" s="10">
        <v>0.292</v>
      </c>
      <c r="E282" s="39">
        <v>0</v>
      </c>
      <c r="F282" s="10">
        <v>2.1253284</v>
      </c>
      <c r="G282" s="10">
        <f ca="1">MIN(MAX(IF(AND(Durpla&gt;ROW()-MATCH(NDVImax,INDEX(D:D,Lig_min,1):INDEX(D:D,Lig_max,1),0)-Lig_min+1,ROW()-MATCH(NDVImax,INDEX(D:D,Lig_min,1):INDEX(D:D,Lig_max,1),0)-Lig_min+1&gt;0,D282*a_fc+b_fc&gt;fc_fin),NDVImax*a_fc+b_fc,D282*a_fc+b_fc),0),1)</f>
        <v>0.189333333333333</v>
      </c>
      <c r="H282" s="55">
        <f>MIN(MAX(D282*a_kcb+b_kcb,0),Kcmax)</f>
        <v>0.213434427617341</v>
      </c>
      <c r="I282" s="70">
        <f ca="1" t="shared" si="44"/>
        <v>1.61546644608425</v>
      </c>
      <c r="O282" s="55"/>
      <c r="P282" s="35">
        <f ca="1">IF(ROW()-MATCH(NDVImax,INDEX(D:D,Lig_min,1):INDEX(D:D,Lig_max,1),0)-Lig_min+1&gt;0,MAX(MIN(Zr_min+MAX(INDEX(G:G,Lig_min,1):INDEX(G:G,Lig_max,1))/MAX(MAX(INDEX(G:G,Lig_min,1):INDEX(G:G,Lig_max,1)),Max_fc_pour_Zrmax)*(Zr_max-Zr_min),Zr_max),Ze+0.001),MAX(MIN(Zr_min+G282/MAX(MAX(INDEX(G:G,Lig_min,1):INDEX(G:G,Lig_max,1)),Max_fc_pour_Zrmax)*(Zr_max-Zr_min),Zr_max),Ze+0.001))</f>
        <v>595.55606968994</v>
      </c>
      <c r="Q282" s="35">
        <f ca="1">IF(Z_sol&gt;0,Z_sol-P282,0.1)</f>
        <v>18.318481374494</v>
      </c>
      <c r="R282" s="35">
        <f ca="1">(Wfc-Wwp)*P282</f>
        <v>77.4222890596922</v>
      </c>
      <c r="S282" s="35">
        <f ca="1">(Wfc-Wwp)*Q282</f>
        <v>2.38140257868422</v>
      </c>
      <c r="T282" s="99">
        <f ca="1" t="shared" si="53"/>
        <v>0.736937571530023</v>
      </c>
      <c r="U282" s="99">
        <f ca="1" t="shared" si="54"/>
        <v>0.30637297589779</v>
      </c>
      <c r="V282" s="99">
        <f ca="1">IF(P282&gt;P281,IF(Q282&gt;1,MAX(AI281+(Wfc-Wwp)*(P282-P281)*AJ281/S281,0),AI281/P281*P282),MAX(AI281+(Wfc-Wwp)*(P282-P281)*AI281/R281,0))</f>
        <v>16.0709330569629</v>
      </c>
      <c r="W282" s="99">
        <f ca="1">IF(S282&gt;1,IF(P282&gt;P281,MAX(AJ281-(Wfc-Wwp)*(P282-P281)*AJ281/S281,0),MAX(AJ281-(Wfc-Wwp)*(P282-P281)*AI281/R281,0)),0)</f>
        <v>2.05134719130837e-6</v>
      </c>
      <c r="X282" s="99">
        <f ca="1">IF(AND(OR(AND(dec_vide_TAW&lt;0,V282&gt;R282*(p+0.04*(5-I281))),AND(dec_vide_TAW&gt;0,V282&gt;R282*dec_vide_TAW)),H282&gt;MAX(INDEX(H:H,Lig_min,1):INDEX(H:H,ROW(X282),1))*Kcbmax_stop_irrig*IF(ROW(X282)-lig_kcbmax&gt;0,1,0),MIN(INDEX(H:H,ROW(X282),1):INDEX(H:H,lig_kcbmax,1))&gt;Kcbmin_start_irrig),MIN(MAX(V282-E282*Irri_man-C282,0),Lame_max),0)</f>
        <v>0</v>
      </c>
      <c r="Y282" s="99">
        <f ca="1">MIN(MAX(T282-C282-IF(fw&gt;0,X282/fw*Irri_auto+E282/fw*Irri_man,0),0),TEW)</f>
        <v>0.538937571530023</v>
      </c>
      <c r="Z282" s="99">
        <f ca="1">MIN(MAX(U282-C282,0),TEW)</f>
        <v>0.10837297589779</v>
      </c>
      <c r="AA282" s="99">
        <f ca="1">MIN(MAX(V282-C282-(X282*Irri_auto+E282*Irri_man),0),R282)</f>
        <v>15.8729330569629</v>
      </c>
      <c r="AB282" s="99">
        <f ca="1">MIN(MAX(W282+MIN(V282-C282-(X282*Irri_auto+E282*Irri_man),0),0),S282)</f>
        <v>2.05134719130837e-6</v>
      </c>
      <c r="AC282" s="99">
        <f ca="1">-MIN(W282+MIN(V282-C282-(X282*Irri_auto+E282*Irri_man),0),0)</f>
        <v>0</v>
      </c>
      <c r="AD282" s="39">
        <f ca="1">IF(((R282-AA282)/P282-((Wfc-Wwp)*Ze-Y282)/Ze)/Wfc*DiffE&lt;0,MAX(((R282-AA282)/P282-((Wfc-Wwp)*Ze-Y282)/Ze)/Wfc*DiffE,(R282*Ze-((Wfc-Wwp)*Ze-Y282-AA282)*P282)/(P282+Ze)-AA282),MIN(((R282-AA282)/P282-((Wfc-Wwp)*Ze-Y282)/Ze)/Wfc*DiffE,(R282*Ze-((Wfc-Wwp)*Ze-Y282-AA282)*P282)/(P282+Ze)-AA282))</f>
        <v>-5.58519734700235e-8</v>
      </c>
      <c r="AE282" s="39">
        <f ca="1">IF(((R282-AA282)/P282-((Wfc-Wwp)*Ze-Z282)/Ze)/Wfc*DiffE&lt;0,MAX(((R282-AA282)/P282-((Wfc-Wwp)*Ze-Z282)/Ze)/Wfc*DiffE,(R282*Ze-((Wfc-Wwp)*Ze-Z282-AA282)*P282)/(P282+Ze)-AA282),MIN(((R282-AA282)/P282-((Wfc-Wwp)*Ze-Z282)/Ze)/Wfc*DiffE,(R282*Ze-((Wfc-Wwp)*Ze-Z282-AA282)*P282)/(P282+Ze)-AA282))</f>
        <v>-6.44632653826682e-8</v>
      </c>
      <c r="AF282" s="39">
        <f ca="1">IF(((S282-AB282)/Q282-(R282-AA282)/P282)/Wfc*DiffR&lt;0,MAX(((S282-AB282)/Q282-(R282-AA282)/P282)/Wfc*DiffR,(S282*P282-(R282-AA282-AB282)*Q282)/(P282+Q282)-AB282),MIN(((S282-AB282)/Q282-(R282-AA282)/P282)/Wfc*DiffR,(S282*P282-(R282-AA282-AB282)*Q282)/(P282+Q282)-AB282))</f>
        <v>6.66304449446673e-8</v>
      </c>
      <c r="AG282" s="99">
        <f ca="1">MIN(MAX(Y282+IF(AU282&gt;0,B282*AZ282/AU282,0)+BE282-AD282,0),TEW)</f>
        <v>1.7512032971517</v>
      </c>
      <c r="AH282" s="99">
        <f ca="1">MIN(MAX(Z282+IF(AV282&gt;0,B282*BA282/AV282,0)+BF282-AE282,0),TEW)</f>
        <v>0.62069240013932</v>
      </c>
      <c r="AI282" s="99">
        <f ca="1" t="shared" si="45"/>
        <v>17.4883994364167</v>
      </c>
      <c r="AJ282" s="99">
        <f ca="1" t="shared" si="46"/>
        <v>2.11797763625304e-6</v>
      </c>
      <c r="AK282" s="70">
        <f ca="1">IF((AU282+AV282)&gt;0,(TEW-(AG282*AU282+AH282*AV282)/(AU282+AV282))/TEW,(TEW-(AG282+AH282)/2)/TEW)</f>
        <v>0.947133485369005</v>
      </c>
      <c r="AL282" s="70">
        <f ca="1" t="shared" si="47"/>
        <v>0.774116735002071</v>
      </c>
      <c r="AM282" s="70">
        <f ca="1" t="shared" si="48"/>
        <v>0.99999911061756</v>
      </c>
      <c r="AN282" s="70">
        <f ca="1">Wwp+(Wfc-Wwp)*IF((AU282+AV282)&gt;0,(TEW-(AG282*AU282+AH282*AV282)/(AU282+AV282))/TEW,(TEW-(AG282+AH282)/2)/TEW)</f>
        <v>0.393127353097971</v>
      </c>
      <c r="AO282" s="70">
        <f ca="1">Wwp+(Wfc-Wwp)*(R282-AI282)/R282</f>
        <v>0.370635175550269</v>
      </c>
      <c r="AP282" s="70">
        <f ca="1">Wwp+(Wfc-Wwp)*(S282-AJ282)/S282</f>
        <v>0.399999884380283</v>
      </c>
      <c r="AQ282" s="70"/>
      <c r="AR282" s="70"/>
      <c r="AS282" s="70"/>
      <c r="AT282" s="70"/>
      <c r="AU282" s="70">
        <f ca="1">MIN((1-G282),fw)</f>
        <v>0.810666666666667</v>
      </c>
      <c r="AV282" s="70">
        <f ca="1" t="shared" si="49"/>
        <v>0</v>
      </c>
      <c r="AW282" s="70">
        <f ca="1">MIN((TEW-Y282)/(TEW-REW),1)</f>
        <v>0.125207407445546</v>
      </c>
      <c r="AX282" s="70">
        <f ca="1">MIN((TEW-Z282)/(TEW-REW),1)</f>
        <v>0.126861791950433</v>
      </c>
      <c r="AY282" s="70">
        <f ca="1">IF((AU282*(TEW-Y282))&gt;0,1/(1+((AV282*(TEW-Z282))/(AU282*(TEW-Y282)))),0)</f>
        <v>1</v>
      </c>
      <c r="AZ282" s="70">
        <f ca="1">MIN((AY282*AW282*(Kcmax-H282)),AU282*Kcmax)</f>
        <v>0.117264947220787</v>
      </c>
      <c r="BA282" s="70">
        <f ca="1">MIN(((1-AY282)*AX282*(Kcmax-H282)),AV282*Kcmax)</f>
        <v>0</v>
      </c>
      <c r="BB282" s="70">
        <f ca="1" t="shared" si="50"/>
        <v>0.572839267173543</v>
      </c>
      <c r="BC282" s="70">
        <f ca="1">MIN((R282-AA282)/(R282*(1-(p+0.04*(5-I281)))),1)</f>
        <v>1</v>
      </c>
      <c r="BD282" s="10">
        <f ca="1" t="shared" si="51"/>
        <v>1.04262717891071</v>
      </c>
      <c r="BE282" s="70">
        <f ca="1">MIN(IF((1-AA282/R282)&gt;0,(1-Y282/TEW)/(1-AA282/R282)*(Ze/P282)^0.6,0),1)*BC282*H282*B282</f>
        <v>0.50563828427602</v>
      </c>
      <c r="BF282" s="70">
        <f ca="1">MIN(IF((1-AA282/R282)&gt;0,(1-Z282/TEW)/(1-AA282/R282)*(Ze/P282)^0.6,0),1)*BC282*H282*B282</f>
        <v>0.512319359778265</v>
      </c>
      <c r="BH282" s="10">
        <f ca="1" t="shared" si="52"/>
        <v>0.259959212050783</v>
      </c>
      <c r="BI282" s="10">
        <f ca="1">IF(F282&lt;&gt;"",(Moy_Etobs-F282)^2,"")</f>
        <v>0.266726621652589</v>
      </c>
    </row>
    <row r="283" spans="1:61">
      <c r="A283" s="38">
        <v>39276</v>
      </c>
      <c r="B283" s="10">
        <v>6.184</v>
      </c>
      <c r="C283" s="39">
        <v>0</v>
      </c>
      <c r="D283" s="10">
        <v>0.292</v>
      </c>
      <c r="E283" s="39">
        <v>0</v>
      </c>
      <c r="F283" s="10">
        <v>1.4051682</v>
      </c>
      <c r="G283" s="10">
        <f ca="1">MIN(MAX(IF(AND(Durpla&gt;ROW()-MATCH(NDVImax,INDEX(D:D,Lig_min,1):INDEX(D:D,Lig_max,1),0)-Lig_min+1,ROW()-MATCH(NDVImax,INDEX(D:D,Lig_min,1):INDEX(D:D,Lig_max,1),0)-Lig_min+1&gt;0,D283*a_fc+b_fc&gt;fc_fin),NDVImax*a_fc+b_fc,D283*a_fc+b_fc),0),1)</f>
        <v>0.189333333333333</v>
      </c>
      <c r="H283" s="55">
        <f>MIN(MAX(D283*a_kcb+b_kcb,0),Kcmax)</f>
        <v>0.213434427617341</v>
      </c>
      <c r="I283" s="70">
        <f ca="1" t="shared" si="44"/>
        <v>2.0180673138962</v>
      </c>
      <c r="O283" s="55"/>
      <c r="P283" s="35">
        <f ca="1">IF(ROW()-MATCH(NDVImax,INDEX(D:D,Lig_min,1):INDEX(D:D,Lig_max,1),0)-Lig_min+1&gt;0,MAX(MIN(Zr_min+MAX(INDEX(G:G,Lig_min,1):INDEX(G:G,Lig_max,1))/MAX(MAX(INDEX(G:G,Lig_min,1):INDEX(G:G,Lig_max,1)),Max_fc_pour_Zrmax)*(Zr_max-Zr_min),Zr_max),Ze+0.001),MAX(MIN(Zr_min+G283/MAX(MAX(INDEX(G:G,Lig_min,1):INDEX(G:G,Lig_max,1)),Max_fc_pour_Zrmax)*(Zr_max-Zr_min),Zr_max),Ze+0.001))</f>
        <v>595.55606968994</v>
      </c>
      <c r="Q283" s="35">
        <f ca="1">IF(Z_sol&gt;0,Z_sol-P283,0.1)</f>
        <v>18.318481374494</v>
      </c>
      <c r="R283" s="35">
        <f ca="1">(Wfc-Wwp)*P283</f>
        <v>77.4222890596922</v>
      </c>
      <c r="S283" s="35">
        <f ca="1">(Wfc-Wwp)*Q283</f>
        <v>2.38140257868422</v>
      </c>
      <c r="T283" s="99">
        <f ca="1" t="shared" si="53"/>
        <v>1.7512032971517</v>
      </c>
      <c r="U283" s="99">
        <f ca="1" t="shared" si="54"/>
        <v>0.62069240013932</v>
      </c>
      <c r="V283" s="99">
        <f ca="1">IF(P283&gt;P282,IF(Q283&gt;1,MAX(AI282+(Wfc-Wwp)*(P283-P282)*AJ282/S282,0),AI282/P282*P283),MAX(AI282+(Wfc-Wwp)*(P283-P282)*AI282/R282,0))</f>
        <v>17.4883994364167</v>
      </c>
      <c r="W283" s="99">
        <f ca="1">IF(S283&gt;1,IF(P283&gt;P282,MAX(AJ282-(Wfc-Wwp)*(P283-P282)*AJ282/S282,0),MAX(AJ282-(Wfc-Wwp)*(P283-P282)*AI282/R282,0)),0)</f>
        <v>2.11797763625304e-6</v>
      </c>
      <c r="X283" s="99">
        <f ca="1">IF(AND(OR(AND(dec_vide_TAW&lt;0,V283&gt;R283*(p+0.04*(5-I282))),AND(dec_vide_TAW&gt;0,V283&gt;R283*dec_vide_TAW)),H283&gt;MAX(INDEX(H:H,Lig_min,1):INDEX(H:H,ROW(X283),1))*Kcbmax_stop_irrig*IF(ROW(X283)-lig_kcbmax&gt;0,1,0),MIN(INDEX(H:H,ROW(X283),1):INDEX(H:H,lig_kcbmax,1))&gt;Kcbmin_start_irrig),MIN(MAX(V283-E283*Irri_man-C283,0),Lame_max),0)</f>
        <v>0</v>
      </c>
      <c r="Y283" s="99">
        <f ca="1">MIN(MAX(T283-C283-IF(fw&gt;0,X283/fw*Irri_auto+E283/fw*Irri_man,0),0),TEW)</f>
        <v>1.7512032971517</v>
      </c>
      <c r="Z283" s="99">
        <f ca="1">MIN(MAX(U283-C283,0),TEW)</f>
        <v>0.62069240013932</v>
      </c>
      <c r="AA283" s="99">
        <f ca="1">MIN(MAX(V283-C283-(X283*Irri_auto+E283*Irri_man),0),R283)</f>
        <v>17.4883994364167</v>
      </c>
      <c r="AB283" s="99">
        <f ca="1">MIN(MAX(W283+MIN(V283-C283-(X283*Irri_auto+E283*Irri_man),0),0),S283)</f>
        <v>2.11797763625304e-6</v>
      </c>
      <c r="AC283" s="99">
        <f ca="1">-MIN(W283+MIN(V283-C283-(X283*Irri_auto+E283*Irri_man),0),0)</f>
        <v>0</v>
      </c>
      <c r="AD283" s="39">
        <f ca="1">IF(((R283-AA283)/P283-((Wfc-Wwp)*Ze-Y283)/Ze)/Wfc*DiffE&lt;0,MAX(((R283-AA283)/P283-((Wfc-Wwp)*Ze-Y283)/Ze)/Wfc*DiffE,(R283*Ze-((Wfc-Wwp)*Ze-Y283-AA283)*P283)/(P283+Ze)-AA283),MIN(((R283-AA283)/P283-((Wfc-Wwp)*Ze-Y283)/Ze)/Wfc*DiffE,(R283*Ze-((Wfc-Wwp)*Ze-Y283-AA283)*P283)/(P283+Ze)-AA283))</f>
        <v>-3.8387995181293e-8</v>
      </c>
      <c r="AE283" s="39">
        <f ca="1">IF(((R283-AA283)/P283-((Wfc-Wwp)*Ze-Z283)/Ze)/Wfc*DiffE&lt;0,MAX(((R283-AA283)/P283-((Wfc-Wwp)*Ze-Z283)/Ze)/Wfc*DiffE,(R283*Ze-((Wfc-Wwp)*Ze-Z283-AA283)*P283)/(P283+Ze)-AA283),MIN(((R283-AA283)/P283-((Wfc-Wwp)*Ze-Z283)/Ze)/Wfc*DiffE,(R283*Ze-((Wfc-Wwp)*Ze-Z283-AA283)*P283)/(P283+Ze)-AA283))</f>
        <v>-6.09982131215405e-8</v>
      </c>
      <c r="AF283" s="39">
        <f ca="1">IF(((S283-AB283)/Q283-(R283-AA283)/P283)/Wfc*DiffR&lt;0,MAX(((S283-AB283)/Q283-(R283-AA283)/P283)/Wfc*DiffR,(S283*P283-(R283-AA283-AB283)*Q283)/(P283+Q283)-AB283),MIN(((S283-AB283)/Q283-(R283-AA283)/P283)/Wfc*DiffR,(S283*P283-(R283-AA283-AB283)*Q283)/(P283+Q283)-AB283))</f>
        <v>7.34117720750339e-8</v>
      </c>
      <c r="AG283" s="99">
        <f ca="1">MIN(MAX(Y283+IF(AU283&gt;0,B283*AZ283/AU283,0)+BE283-AD283,0),TEW)</f>
        <v>3.24535016710072</v>
      </c>
      <c r="AH283" s="99">
        <f ca="1">MIN(MAX(Z283+IF(AV283&gt;0,B283*BA283/AV283,0)+BF283-AE283,0),TEW)</f>
        <v>1.27639210143007</v>
      </c>
      <c r="AI283" s="99">
        <f ca="1" t="shared" si="45"/>
        <v>19.5064666769011</v>
      </c>
      <c r="AJ283" s="99">
        <f ca="1" t="shared" si="46"/>
        <v>2.19138940832807e-6</v>
      </c>
      <c r="AK283" s="70">
        <f ca="1">IF((AU283+AV283)&gt;0,(TEW-(AG283*AU283+AH283*AV283)/(AU283+AV283))/TEW,(TEW-(AG283+AH283)/2)/TEW)</f>
        <v>0.902027164766771</v>
      </c>
      <c r="AL283" s="70">
        <f ca="1" t="shared" si="47"/>
        <v>0.748051021045609</v>
      </c>
      <c r="AM283" s="70">
        <f ca="1" t="shared" si="48"/>
        <v>0.999999079790445</v>
      </c>
      <c r="AN283" s="70">
        <f ca="1">Wwp+(Wfc-Wwp)*IF((AU283+AV283)&gt;0,(TEW-(AG283*AU283+AH283*AV283)/(AU283+AV283))/TEW,(TEW-(AG283+AH283)/2)/TEW)</f>
        <v>0.38726353141968</v>
      </c>
      <c r="AO283" s="70">
        <f ca="1">Wwp+(Wfc-Wwp)*(R283-AI283)/R283</f>
        <v>0.367246632735929</v>
      </c>
      <c r="AP283" s="70">
        <f ca="1">Wwp+(Wfc-Wwp)*(S283-AJ283)/S283</f>
        <v>0.399999880372758</v>
      </c>
      <c r="AQ283" s="70"/>
      <c r="AR283" s="70"/>
      <c r="AS283" s="70"/>
      <c r="AT283" s="70"/>
      <c r="AU283" s="70">
        <f ca="1">MIN((1-G283),fw)</f>
        <v>0.810666666666667</v>
      </c>
      <c r="AV283" s="70">
        <f ca="1" t="shared" si="49"/>
        <v>0</v>
      </c>
      <c r="AW283" s="70">
        <f ca="1">MIN((TEW-Y283)/(TEW-REW),1)</f>
        <v>0.120549445196398</v>
      </c>
      <c r="AX283" s="70">
        <f ca="1">MIN((TEW-Z283)/(TEW-REW),1)</f>
        <v>0.12489327590054</v>
      </c>
      <c r="AY283" s="70">
        <f ca="1">IF((AU283*(TEW-Y283))&gt;0,1/(1+((AV283*(TEW-Z283))/(AU283*(TEW-Y283)))),0)</f>
        <v>1</v>
      </c>
      <c r="AZ283" s="70">
        <f ca="1">MIN((AY283*AW283*(Kcmax-H283)),AU283*Kcmax)</f>
        <v>0.112902460140777</v>
      </c>
      <c r="BA283" s="70">
        <f ca="1">MIN(((1-AY283)*AX283*(Kcmax-H283)),AV283*Kcmax)</f>
        <v>0</v>
      </c>
      <c r="BB283" s="70">
        <f ca="1" t="shared" si="50"/>
        <v>0.698188813510564</v>
      </c>
      <c r="BC283" s="70">
        <f ca="1">MIN((R283-AA283)/(R283*(1-(p+0.04*(5-I282)))),1)</f>
        <v>1</v>
      </c>
      <c r="BD283" s="10">
        <f ca="1" t="shared" si="51"/>
        <v>1.31987850038564</v>
      </c>
      <c r="BE283" s="70">
        <f ca="1">MIN(IF((1-AA283/R283)&gt;0,(1-Y283/TEW)/(1-AA283/R283)*(Ze/P283)^0.6,0),1)*BC283*H283*B283</f>
        <v>0.632894183316093</v>
      </c>
      <c r="BF283" s="70">
        <f ca="1">MIN(IF((1-AA283/R283)&gt;0,(1-Z283/TEW)/(1-AA283/R283)*(Ze/P283)^0.6,0),1)*BC283*H283*B283</f>
        <v>0.65569964029254</v>
      </c>
      <c r="BH283" s="10">
        <f ca="1" t="shared" si="52"/>
        <v>0.375645323814747</v>
      </c>
      <c r="BI283" s="10">
        <f ca="1">IF(F283&lt;&gt;"",(Moy_Etobs-F283)^2,"")</f>
        <v>0.0414954714174756</v>
      </c>
    </row>
    <row r="284" spans="1:61">
      <c r="A284" s="38">
        <v>39277</v>
      </c>
      <c r="B284" s="10">
        <v>4.962</v>
      </c>
      <c r="C284" s="39">
        <v>0</v>
      </c>
      <c r="D284" s="10">
        <v>0.292</v>
      </c>
      <c r="E284" s="39">
        <v>0</v>
      </c>
      <c r="F284" s="10">
        <v>1.006335</v>
      </c>
      <c r="G284" s="10">
        <f ca="1">MIN(MAX(IF(AND(Durpla&gt;ROW()-MATCH(NDVImax,INDEX(D:D,Lig_min,1):INDEX(D:D,Lig_max,1),0)-Lig_min+1,ROW()-MATCH(NDVImax,INDEX(D:D,Lig_min,1):INDEX(D:D,Lig_max,1),0)-Lig_min+1&gt;0,D284*a_fc+b_fc&gt;fc_fin),NDVImax*a_fc+b_fc,D284*a_fc+b_fc),0),1)</f>
        <v>0.189333333333333</v>
      </c>
      <c r="H284" s="55">
        <f>MIN(MAX(D284*a_kcb+b_kcb,0),Kcmax)</f>
        <v>0.213434427617341</v>
      </c>
      <c r="I284" s="70">
        <f ca="1" t="shared" si="44"/>
        <v>1.59260360318898</v>
      </c>
      <c r="O284" s="55"/>
      <c r="P284" s="35">
        <f ca="1">IF(ROW()-MATCH(NDVImax,INDEX(D:D,Lig_min,1):INDEX(D:D,Lig_max,1),0)-Lig_min+1&gt;0,MAX(MIN(Zr_min+MAX(INDEX(G:G,Lig_min,1):INDEX(G:G,Lig_max,1))/MAX(MAX(INDEX(G:G,Lig_min,1):INDEX(G:G,Lig_max,1)),Max_fc_pour_Zrmax)*(Zr_max-Zr_min),Zr_max),Ze+0.001),MAX(MIN(Zr_min+G284/MAX(MAX(INDEX(G:G,Lig_min,1):INDEX(G:G,Lig_max,1)),Max_fc_pour_Zrmax)*(Zr_max-Zr_min),Zr_max),Ze+0.001))</f>
        <v>595.55606968994</v>
      </c>
      <c r="Q284" s="35">
        <f ca="1">IF(Z_sol&gt;0,Z_sol-P284,0.1)</f>
        <v>18.318481374494</v>
      </c>
      <c r="R284" s="35">
        <f ca="1">(Wfc-Wwp)*P284</f>
        <v>77.4222890596922</v>
      </c>
      <c r="S284" s="35">
        <f ca="1">(Wfc-Wwp)*Q284</f>
        <v>2.38140257868422</v>
      </c>
      <c r="T284" s="99">
        <f ca="1" t="shared" si="53"/>
        <v>3.24535016710072</v>
      </c>
      <c r="U284" s="99">
        <f ca="1" t="shared" si="54"/>
        <v>1.27639210143007</v>
      </c>
      <c r="V284" s="99">
        <f ca="1">IF(P284&gt;P283,IF(Q284&gt;1,MAX(AI283+(Wfc-Wwp)*(P284-P283)*AJ283/S283,0),AI283/P283*P284),MAX(AI283+(Wfc-Wwp)*(P284-P283)*AI283/R283,0))</f>
        <v>19.5064666769011</v>
      </c>
      <c r="W284" s="99">
        <f ca="1">IF(S284&gt;1,IF(P284&gt;P283,MAX(AJ283-(Wfc-Wwp)*(P284-P283)*AJ283/S283,0),MAX(AJ283-(Wfc-Wwp)*(P284-P283)*AI283/R283,0)),0)</f>
        <v>2.19138940832807e-6</v>
      </c>
      <c r="X284" s="99">
        <f ca="1">IF(AND(OR(AND(dec_vide_TAW&lt;0,V284&gt;R284*(p+0.04*(5-I283))),AND(dec_vide_TAW&gt;0,V284&gt;R284*dec_vide_TAW)),H284&gt;MAX(INDEX(H:H,Lig_min,1):INDEX(H:H,ROW(X284),1))*Kcbmax_stop_irrig*IF(ROW(X284)-lig_kcbmax&gt;0,1,0),MIN(INDEX(H:H,ROW(X284),1):INDEX(H:H,lig_kcbmax,1))&gt;Kcbmin_start_irrig),MIN(MAX(V284-E284*Irri_man-C284,0),Lame_max),0)</f>
        <v>0</v>
      </c>
      <c r="Y284" s="99">
        <f ca="1">MIN(MAX(T284-C284-IF(fw&gt;0,X284/fw*Irri_auto+E284/fw*Irri_man,0),0),TEW)</f>
        <v>3.24535016710072</v>
      </c>
      <c r="Z284" s="99">
        <f ca="1">MIN(MAX(U284-C284,0),TEW)</f>
        <v>1.27639210143007</v>
      </c>
      <c r="AA284" s="99">
        <f ca="1">MIN(MAX(V284-C284-(X284*Irri_auto+E284*Irri_man),0),R284)</f>
        <v>19.5064666769011</v>
      </c>
      <c r="AB284" s="99">
        <f ca="1">MIN(MAX(W284+MIN(V284-C284-(X284*Irri_auto+E284*Irri_man),0),0),S284)</f>
        <v>2.19138940832807e-6</v>
      </c>
      <c r="AC284" s="99">
        <f ca="1">-MIN(W284+MIN(V284-C284-(X284*Irri_auto+E284*Irri_man),0),0)</f>
        <v>0</v>
      </c>
      <c r="AD284" s="39">
        <f ca="1">IF(((R284-AA284)/P284-((Wfc-Wwp)*Ze-Y284)/Ze)/Wfc*DiffE&lt;0,MAX(((R284-AA284)/P284-((Wfc-Wwp)*Ze-Y284)/Ze)/Wfc*DiffE,(R284*Ze-((Wfc-Wwp)*Ze-Y284-AA284)*P284)/(P284+Ze)-AA284),MIN(((R284-AA284)/P284-((Wfc-Wwp)*Ze-Y284)/Ze)/Wfc*DiffE,(R284*Ze-((Wfc-Wwp)*Ze-Y284-AA284)*P284)/(P284+Ze)-AA284))</f>
        <v>-1.69764148181625e-8</v>
      </c>
      <c r="AE284" s="39">
        <f ca="1">IF(((R284-AA284)/P284-((Wfc-Wwp)*Ze-Z284)/Ze)/Wfc*DiffE&lt;0,MAX(((R284-AA284)/P284-((Wfc-Wwp)*Ze-Z284)/Ze)/Wfc*DiffE,(R284*Ze-((Wfc-Wwp)*Ze-Z284-AA284)*P284)/(P284+Ze)-AA284),MIN(((R284-AA284)/P284-((Wfc-Wwp)*Ze-Z284)/Ze)/Wfc*DiffE,(R284*Ze-((Wfc-Wwp)*Ze-Z284-AA284)*P284)/(P284+Ze)-AA284))</f>
        <v>-5.63555761315755e-8</v>
      </c>
      <c r="AF284" s="39">
        <f ca="1">IF(((S284-AB284)/Q284-(R284-AA284)/P284)/Wfc*DiffR&lt;0,MAX(((S284-AB284)/Q284-(R284-AA284)/P284)/Wfc*DiffR,(S284*P284-(R284-AA284-AB284)*Q284)/(P284+Q284)-AB284),MIN(((S284-AB284)/Q284-(R284-AA284)/P284)/Wfc*DiffR,(S284*P284-(R284-AA284-AB284)*Q284)/(P284+Q284)-AB284))</f>
        <v>8.18831190920715e-8</v>
      </c>
      <c r="AG284" s="99">
        <f ca="1">MIN(MAX(Y284+IF(AU284&gt;0,B284*AZ284/AU284,0)+BE284-AD284,0),TEW)</f>
        <v>4.40399994199361</v>
      </c>
      <c r="AH284" s="99">
        <f ca="1">MIN(MAX(Z284+IF(AV284&gt;0,B284*BA284/AV284,0)+BF284-AE284,0),TEW)</f>
        <v>1.80987074879765</v>
      </c>
      <c r="AI284" s="99">
        <f ca="1" t="shared" si="45"/>
        <v>21.099070198207</v>
      </c>
      <c r="AJ284" s="99">
        <f ca="1" t="shared" si="46"/>
        <v>2.27327252742014e-6</v>
      </c>
      <c r="AK284" s="70">
        <f ca="1">IF((AU284+AV284)&gt;0,(TEW-(AG284*AU284+AH284*AV284)/(AU284+AV284))/TEW,(TEW-(AG284+AH284)/2)/TEW)</f>
        <v>0.86704905835491</v>
      </c>
      <c r="AL284" s="70">
        <f ca="1" t="shared" si="47"/>
        <v>0.727480671852266</v>
      </c>
      <c r="AM284" s="70">
        <f ca="1" t="shared" si="48"/>
        <v>0.999999045406036</v>
      </c>
      <c r="AN284" s="70">
        <f ca="1">Wwp+(Wfc-Wwp)*IF((AU284+AV284)&gt;0,(TEW-(AG284*AU284+AH284*AV284)/(AU284+AV284))/TEW,(TEW-(AG284+AH284)/2)/TEW)</f>
        <v>0.382716377586138</v>
      </c>
      <c r="AO284" s="70">
        <f ca="1">Wwp+(Wfc-Wwp)*(R284-AI284)/R284</f>
        <v>0.364572487340795</v>
      </c>
      <c r="AP284" s="70">
        <f ca="1">Wwp+(Wfc-Wwp)*(S284-AJ284)/S284</f>
        <v>0.399999875902785</v>
      </c>
      <c r="AQ284" s="70"/>
      <c r="AR284" s="70"/>
      <c r="AS284" s="70"/>
      <c r="AT284" s="70"/>
      <c r="AU284" s="70">
        <f ca="1">MIN((1-G284),fw)</f>
        <v>0.810666666666667</v>
      </c>
      <c r="AV284" s="70">
        <f ca="1" t="shared" si="49"/>
        <v>0</v>
      </c>
      <c r="AW284" s="70">
        <f ca="1">MIN((TEW-Y284)/(TEW-REW),1)</f>
        <v>0.114808393900623</v>
      </c>
      <c r="AX284" s="70">
        <f ca="1">MIN((TEW-Z284)/(TEW-REW),1)</f>
        <v>0.122373841101026</v>
      </c>
      <c r="AY284" s="70">
        <f ca="1">IF((AU284*(TEW-Y284))&gt;0,1/(1+((AV284*(TEW-Z284))/(AU284*(TEW-Y284)))),0)</f>
        <v>1</v>
      </c>
      <c r="AZ284" s="70">
        <f ca="1">MIN((AY284*AW284*(Kcmax-H284)),AU284*Kcmax)</f>
        <v>0.107525589147871</v>
      </c>
      <c r="BA284" s="70">
        <f ca="1">MIN(((1-AY284)*AX284*(Kcmax-H284)),AV284*Kcmax)</f>
        <v>0</v>
      </c>
      <c r="BB284" s="70">
        <f ca="1" t="shared" si="50"/>
        <v>0.533541973351733</v>
      </c>
      <c r="BC284" s="70">
        <f ca="1">MIN((R284-AA284)/(R284*(1-(p+0.04*(5-I283)))),1)</f>
        <v>1</v>
      </c>
      <c r="BD284" s="10">
        <f ca="1" t="shared" si="51"/>
        <v>1.05906162983725</v>
      </c>
      <c r="BE284" s="70">
        <f ca="1">MIN(IF((1-AA284/R284)&gt;0,(1-Y284/TEW)/(1-AA284/R284)*(Ze/P284)^0.6,0),1)*BC284*H284*B284</f>
        <v>0.500497652630616</v>
      </c>
      <c r="BF284" s="70">
        <f ca="1">MIN(IF((1-AA284/R284)&gt;0,(1-Z284/TEW)/(1-AA284/R284)*(Ze/P284)^0.6,0),1)*BC284*H284*B284</f>
        <v>0.533478591012003</v>
      </c>
      <c r="BH284" s="10">
        <f ca="1" t="shared" si="52"/>
        <v>0.343710875085156</v>
      </c>
      <c r="BI284" s="10">
        <f ca="1">IF(F284&lt;&gt;"",(Moy_Etobs-F284)^2,"")</f>
        <v>0.363051526398001</v>
      </c>
    </row>
    <row r="285" spans="1:61">
      <c r="A285" s="38">
        <v>39278</v>
      </c>
      <c r="B285" s="10">
        <v>6.402</v>
      </c>
      <c r="C285" s="39">
        <v>0</v>
      </c>
      <c r="D285" s="10">
        <v>0.291</v>
      </c>
      <c r="E285" s="39">
        <v>0</v>
      </c>
      <c r="G285" s="10">
        <f ca="1">MIN(MAX(IF(AND(Durpla&gt;ROW()-MATCH(NDVImax,INDEX(D:D,Lig_min,1):INDEX(D:D,Lig_max,1),0)-Lig_min+1,ROW()-MATCH(NDVImax,INDEX(D:D,Lig_min,1):INDEX(D:D,Lig_max,1),0)-Lig_min+1&gt;0,D285*a_fc+b_fc&gt;fc_fin),NDVImax*a_fc+b_fc,D285*a_fc+b_fc),0),1)</f>
        <v>0.188</v>
      </c>
      <c r="H285" s="55">
        <f>MIN(MAX(D285*a_kcb+b_kcb,0),Kcmax)</f>
        <v>0.211931368267923</v>
      </c>
      <c r="I285" s="70">
        <f ca="1" t="shared" si="44"/>
        <v>2.01953193826944</v>
      </c>
      <c r="O285" s="55"/>
      <c r="P285" s="35">
        <f ca="1">IF(ROW()-MATCH(NDVImax,INDEX(D:D,Lig_min,1):INDEX(D:D,Lig_max,1),0)-Lig_min+1&gt;0,MAX(MIN(Zr_min+MAX(INDEX(G:G,Lig_min,1):INDEX(G:G,Lig_max,1))/MAX(MAX(INDEX(G:G,Lig_min,1):INDEX(G:G,Lig_max,1)),Max_fc_pour_Zrmax)*(Zr_max-Zr_min),Zr_max),Ze+0.001),MAX(MIN(Zr_min+G285/MAX(MAX(INDEX(G:G,Lig_min,1):INDEX(G:G,Lig_max,1)),Max_fc_pour_Zrmax)*(Zr_max-Zr_min),Zr_max),Ze+0.001))</f>
        <v>595.55606968994</v>
      </c>
      <c r="Q285" s="35">
        <f ca="1">IF(Z_sol&gt;0,Z_sol-P285,0.1)</f>
        <v>18.318481374494</v>
      </c>
      <c r="R285" s="35">
        <f ca="1">(Wfc-Wwp)*P285</f>
        <v>77.4222890596922</v>
      </c>
      <c r="S285" s="35">
        <f ca="1">(Wfc-Wwp)*Q285</f>
        <v>2.38140257868422</v>
      </c>
      <c r="T285" s="99">
        <f ca="1" t="shared" si="53"/>
        <v>4.40399994199361</v>
      </c>
      <c r="U285" s="99">
        <f ca="1" t="shared" si="54"/>
        <v>1.80987074879765</v>
      </c>
      <c r="V285" s="99">
        <f ca="1">IF(P285&gt;P284,IF(Q285&gt;1,MAX(AI284+(Wfc-Wwp)*(P285-P284)*AJ284/S284,0),AI284/P284*P285),MAX(AI284+(Wfc-Wwp)*(P285-P284)*AI284/R284,0))</f>
        <v>21.099070198207</v>
      </c>
      <c r="W285" s="99">
        <f ca="1">IF(S285&gt;1,IF(P285&gt;P284,MAX(AJ284-(Wfc-Wwp)*(P285-P284)*AJ284/S284,0),MAX(AJ284-(Wfc-Wwp)*(P285-P284)*AI284/R284,0)),0)</f>
        <v>2.27327252742014e-6</v>
      </c>
      <c r="X285" s="99">
        <f ca="1">IF(AND(OR(AND(dec_vide_TAW&lt;0,V285&gt;R285*(p+0.04*(5-I284))),AND(dec_vide_TAW&gt;0,V285&gt;R285*dec_vide_TAW)),H285&gt;MAX(INDEX(H:H,Lig_min,1):INDEX(H:H,ROW(X285),1))*Kcbmax_stop_irrig*IF(ROW(X285)-lig_kcbmax&gt;0,1,0),MIN(INDEX(H:H,ROW(X285),1):INDEX(H:H,lig_kcbmax,1))&gt;Kcbmin_start_irrig),MIN(MAX(V285-E285*Irri_man-C285,0),Lame_max),0)</f>
        <v>0</v>
      </c>
      <c r="Y285" s="99">
        <f ca="1">MIN(MAX(T285-C285-IF(fw&gt;0,X285/fw*Irri_auto+E285/fw*Irri_man,0),0),TEW)</f>
        <v>4.40399994199361</v>
      </c>
      <c r="Z285" s="99">
        <f ca="1">MIN(MAX(U285-C285,0),TEW)</f>
        <v>1.80987074879765</v>
      </c>
      <c r="AA285" s="99">
        <f ca="1">MIN(MAX(V285-C285-(X285*Irri_auto+E285*Irri_man),0),R285)</f>
        <v>21.099070198207</v>
      </c>
      <c r="AB285" s="99">
        <f ca="1">MIN(MAX(W285+MIN(V285-C285-(X285*Irri_auto+E285*Irri_man),0),0),S285)</f>
        <v>2.27327252742014e-6</v>
      </c>
      <c r="AC285" s="99">
        <f ca="1">-MIN(W285+MIN(V285-C285-(X285*Irri_auto+E285*Irri_man),0),0)</f>
        <v>0</v>
      </c>
      <c r="AD285" s="39">
        <f ca="1">IF(((R285-AA285)/P285-((Wfc-Wwp)*Ze-Y285)/Ze)/Wfc*DiffE&lt;0,MAX(((R285-AA285)/P285-((Wfc-Wwp)*Ze-Y285)/Ze)/Wfc*DiffE,(R285*Ze-((Wfc-Wwp)*Ze-Y285-AA285)*P285)/(P285+Ze)-AA285),MIN(((R285-AA285)/P285-((Wfc-Wwp)*Ze-Y285)/Ze)/Wfc*DiffE,(R285*Ze-((Wfc-Wwp)*Ze-Y285-AA285)*P285)/(P285+Ze)-AA285))</f>
        <v>-4.88782808141415e-10</v>
      </c>
      <c r="AE285" s="39">
        <f ca="1">IF(((R285-AA285)/P285-((Wfc-Wwp)*Ze-Z285)/Ze)/Wfc*DiffE&lt;0,MAX(((R285-AA285)/P285-((Wfc-Wwp)*Ze-Z285)/Ze)/Wfc*DiffE,(R285*Ze-((Wfc-Wwp)*Ze-Z285-AA285)*P285)/(P285+Ze)-AA285),MIN(((R285-AA285)/P285-((Wfc-Wwp)*Ze-Z285)/Ze)/Wfc*DiffE,(R285*Ze-((Wfc-Wwp)*Ze-Z285-AA285)*P285)/(P285+Ze)-AA285))</f>
        <v>-5.23713666720606e-8</v>
      </c>
      <c r="AF285" s="39">
        <f ca="1">IF(((S285-AB285)/Q285-(R285-AA285)/P285)/Wfc*DiffR&lt;0,MAX(((S285-AB285)/Q285-(R285-AA285)/P285)/Wfc*DiffR,(S285*P285-(R285-AA285-AB285)*Q285)/(P285+Q285)-AB285),MIN(((S285-AB285)/Q285-(R285-AA285)/P285)/Wfc*DiffR,(S285*P285-(R285-AA285-AB285)*Q285)/(P285+Q285)-AB285))</f>
        <v>8.85684714049754e-8</v>
      </c>
      <c r="AG285" s="99">
        <f ca="1">MIN(MAX(Y285+IF(AU285&gt;0,B285*AZ285/AU285,0)+BE285-AD285,0),TEW)</f>
        <v>5.85395226229195</v>
      </c>
      <c r="AH285" s="99">
        <f ca="1">MIN(MAX(Z285+IF(AV285&gt;0,B285*BA285/AV285,0)+BF285-AE285,0),TEW)</f>
        <v>2.50087420859001</v>
      </c>
      <c r="AI285" s="99">
        <f ca="1" t="shared" si="45"/>
        <v>23.118602047908</v>
      </c>
      <c r="AJ285" s="99">
        <f ca="1" t="shared" si="46"/>
        <v>2.36184099882512e-6</v>
      </c>
      <c r="AK285" s="70">
        <f ca="1">IF((AU285+AV285)&gt;0,(TEW-(AG285*AU285+AH285*AV285)/(AU285+AV285))/TEW,(TEW-(AG285+AH285)/2)/TEW)</f>
        <v>0.823276912836469</v>
      </c>
      <c r="AL285" s="70">
        <f ca="1" t="shared" si="47"/>
        <v>0.701396040743724</v>
      </c>
      <c r="AM285" s="70">
        <f ca="1" t="shared" si="48"/>
        <v>0.99999900821431</v>
      </c>
      <c r="AN285" s="70">
        <f ca="1">Wwp+(Wfc-Wwp)*IF((AU285+AV285)&gt;0,(TEW-(AG285*AU285+AH285*AV285)/(AU285+AV285))/TEW,(TEW-(AG285+AH285)/2)/TEW)</f>
        <v>0.377025998668741</v>
      </c>
      <c r="AO285" s="70">
        <f ca="1">Wwp+(Wfc-Wwp)*(R285-AI285)/R285</f>
        <v>0.361181485296684</v>
      </c>
      <c r="AP285" s="70">
        <f ca="1">Wwp+(Wfc-Wwp)*(S285-AJ285)/S285</f>
        <v>0.39999987106786</v>
      </c>
      <c r="AQ285" s="70"/>
      <c r="AR285" s="70"/>
      <c r="AS285" s="70"/>
      <c r="AT285" s="70"/>
      <c r="AU285" s="70">
        <f ca="1">MIN((1-G285),fw)</f>
        <v>0.812</v>
      </c>
      <c r="AV285" s="70">
        <f ca="1" t="shared" si="49"/>
        <v>0</v>
      </c>
      <c r="AW285" s="70">
        <f ca="1">MIN((TEW-Y285)/(TEW-REW),1)</f>
        <v>0.110356443476414</v>
      </c>
      <c r="AX285" s="70">
        <f ca="1">MIN((TEW-Z285)/(TEW-REW),1)</f>
        <v>0.120324023682579</v>
      </c>
      <c r="AY285" s="70">
        <f ca="1">IF((AU285*(TEW-Y285))&gt;0,1/(1+((AV285*(TEW-Z285))/(AU285*(TEW-Y285)))),0)</f>
        <v>1</v>
      </c>
      <c r="AZ285" s="70">
        <f ca="1">MIN((AY285*AW285*(Kcmax-H285)),AU285*Kcmax)</f>
        <v>0.103521917934738</v>
      </c>
      <c r="BA285" s="70">
        <f ca="1">MIN(((1-AY285)*AX285*(Kcmax-H285)),AV285*Kcmax)</f>
        <v>0</v>
      </c>
      <c r="BB285" s="70">
        <f ca="1" t="shared" si="50"/>
        <v>0.662747318618195</v>
      </c>
      <c r="BC285" s="70">
        <f ca="1">MIN((R285-AA285)/(R285*(1-(p+0.04*(5-I284)))),1)</f>
        <v>1</v>
      </c>
      <c r="BD285" s="10">
        <f ca="1" t="shared" si="51"/>
        <v>1.35678461965124</v>
      </c>
      <c r="BE285" s="70">
        <f ca="1">MIN(IF((1-AA285/R285)&gt;0,(1-Y285/TEW)/(1-AA285/R285)*(Ze/P285)^0.6,0),1)*BC285*H285*B285</f>
        <v>0.633761040723114</v>
      </c>
      <c r="BF285" s="70">
        <f ca="1">MIN(IF((1-AA285/R285)&gt;0,(1-Z285/TEW)/(1-AA285/R285)*(Ze/P285)^0.6,0),1)*BC285*H285*B285</f>
        <v>0.691003407420988</v>
      </c>
      <c r="BH285" s="10" t="str">
        <f ca="1" t="shared" si="52"/>
        <v/>
      </c>
      <c r="BI285" s="10" t="str">
        <f ca="1">IF(F285&lt;&gt;"",(Moy_Etobs-F285)^2,"")</f>
        <v/>
      </c>
    </row>
  </sheetData>
  <pageMargins left="0.7" right="0.7" top="0.75" bottom="0.75" header="0.511805555555555" footer="0.511805555555555"/>
  <pageSetup paperSize="9" firstPageNumber="0" orientation="portrait" useFirstPageNumber="1" horizontalDpi="300" verticalDpi="300"/>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9"/>
  <sheetViews>
    <sheetView topLeftCell="A81" workbookViewId="0">
      <selection activeCell="A94" sqref="A94"/>
    </sheetView>
  </sheetViews>
  <sheetFormatPr defaultColWidth="9" defaultRowHeight="15"/>
  <cols>
    <col min="1" max="1" width="75.7333333333333" style="1"/>
    <col min="2" max="2" width="11.4592592592593"/>
    <col min="3" max="1025" width="10.6"/>
  </cols>
  <sheetData>
    <row r="1" ht="20.25" spans="1:1">
      <c r="A1" s="2" t="s">
        <v>120</v>
      </c>
    </row>
    <row r="2" spans="1:1">
      <c r="A2" s="1" t="s">
        <v>121</v>
      </c>
    </row>
    <row r="4" ht="45" spans="1:1">
      <c r="A4" s="1" t="s">
        <v>122</v>
      </c>
    </row>
    <row r="5" ht="18.75" customHeight="1" spans="1:1">
      <c r="A5"/>
    </row>
    <row r="6" spans="1:1">
      <c r="A6" s="3" t="s">
        <v>123</v>
      </c>
    </row>
    <row r="7" spans="1:1">
      <c r="A7" s="4" t="s">
        <v>124</v>
      </c>
    </row>
    <row r="8" spans="1:1">
      <c r="A8" s="5" t="s">
        <v>125</v>
      </c>
    </row>
    <row r="9" spans="1:1">
      <c r="A9" s="6" t="s">
        <v>126</v>
      </c>
    </row>
    <row r="10" spans="1:1">
      <c r="A10" s="7" t="s">
        <v>127</v>
      </c>
    </row>
    <row r="11" spans="1:1">
      <c r="A11" s="1" t="s">
        <v>128</v>
      </c>
    </row>
    <row r="12" spans="1:1">
      <c r="A12" s="8" t="s">
        <v>129</v>
      </c>
    </row>
    <row r="14" ht="90" spans="1:1">
      <c r="A14" s="1" t="s">
        <v>130</v>
      </c>
    </row>
    <row r="15" ht="45" spans="1:1">
      <c r="A15" s="1" t="s">
        <v>131</v>
      </c>
    </row>
    <row r="16" spans="1:1">
      <c r="A16"/>
    </row>
    <row r="17" ht="24" spans="1:1">
      <c r="A17" s="9" t="s">
        <v>132</v>
      </c>
    </row>
    <row r="18" spans="1:1">
      <c r="A18"/>
    </row>
    <row r="25" ht="30" spans="1:1">
      <c r="A25" s="1" t="s">
        <v>133</v>
      </c>
    </row>
    <row r="26" spans="1:1">
      <c r="A26"/>
    </row>
    <row r="27" ht="30" spans="1:1">
      <c r="A27" s="1" t="s">
        <v>134</v>
      </c>
    </row>
    <row r="28" spans="1:1">
      <c r="A28" s="1" t="s">
        <v>135</v>
      </c>
    </row>
    <row r="29" spans="1:1">
      <c r="A29" s="1" t="s">
        <v>136</v>
      </c>
    </row>
    <row r="30" ht="45" spans="1:1">
      <c r="A30" s="1" t="s">
        <v>137</v>
      </c>
    </row>
    <row r="31" ht="30" spans="1:1">
      <c r="A31" s="1" t="s">
        <v>138</v>
      </c>
    </row>
    <row r="32" spans="1:1">
      <c r="A32" s="1" t="s">
        <v>139</v>
      </c>
    </row>
    <row r="33" spans="1:1">
      <c r="A33" s="1" t="s">
        <v>140</v>
      </c>
    </row>
    <row r="34" ht="30" spans="1:1">
      <c r="A34" s="1" t="s">
        <v>141</v>
      </c>
    </row>
    <row r="35" spans="1:1">
      <c r="A35"/>
    </row>
    <row r="36" ht="24" spans="1:1">
      <c r="A36" s="9" t="s">
        <v>142</v>
      </c>
    </row>
    <row r="37" ht="24" spans="1:1">
      <c r="A37" s="9"/>
    </row>
    <row r="38" ht="24" spans="1:1">
      <c r="A38" s="9"/>
    </row>
    <row r="39" ht="24" spans="1:1">
      <c r="A39" s="9"/>
    </row>
    <row r="40" ht="24" spans="1:1">
      <c r="A40" s="9"/>
    </row>
    <row r="41" spans="1:1">
      <c r="A41" s="1" t="s">
        <v>143</v>
      </c>
    </row>
    <row r="42" ht="64.5" spans="1:1">
      <c r="A42" s="1" t="s">
        <v>144</v>
      </c>
    </row>
    <row r="43" ht="45" spans="1:1">
      <c r="A43" s="1" t="s">
        <v>145</v>
      </c>
    </row>
    <row r="44" spans="1:1">
      <c r="A44" s="1" t="s">
        <v>146</v>
      </c>
    </row>
    <row r="45" spans="1:1">
      <c r="A45" s="1" t="s">
        <v>147</v>
      </c>
    </row>
    <row r="46" ht="30" spans="1:1">
      <c r="A46" s="1" t="s">
        <v>148</v>
      </c>
    </row>
    <row r="47" spans="1:1">
      <c r="A47" s="1" t="s">
        <v>149</v>
      </c>
    </row>
    <row r="48" ht="80.25" customHeight="1" spans="1:1">
      <c r="A48" s="1" t="s">
        <v>150</v>
      </c>
    </row>
    <row r="49" spans="1:1">
      <c r="A49"/>
    </row>
    <row r="52" ht="45" spans="1:1">
      <c r="A52" s="1" t="s">
        <v>151</v>
      </c>
    </row>
    <row r="53" spans="1:1">
      <c r="A53"/>
    </row>
    <row r="54" ht="24" spans="1:1">
      <c r="A54" s="9" t="s">
        <v>152</v>
      </c>
    </row>
    <row r="55" spans="1:1">
      <c r="A55"/>
    </row>
    <row r="61" spans="1:1">
      <c r="A61" s="1" t="s">
        <v>153</v>
      </c>
    </row>
    <row r="62" spans="1:1">
      <c r="A62" s="1" t="s">
        <v>154</v>
      </c>
    </row>
    <row r="63" spans="1:1">
      <c r="A63" s="1" t="s">
        <v>155</v>
      </c>
    </row>
    <row r="64" ht="45" spans="1:1">
      <c r="A64" s="1" t="s">
        <v>156</v>
      </c>
    </row>
    <row r="65" spans="1:1">
      <c r="A65" s="1" t="s">
        <v>157</v>
      </c>
    </row>
    <row r="66" ht="60" spans="1:1">
      <c r="A66" s="1" t="s">
        <v>158</v>
      </c>
    </row>
    <row r="67" spans="1:1">
      <c r="A67" s="1" t="s">
        <v>159</v>
      </c>
    </row>
    <row r="68" ht="45" spans="1:1">
      <c r="A68" s="1" t="s">
        <v>160</v>
      </c>
    </row>
    <row r="69" ht="45" spans="1:1">
      <c r="A69" s="1" t="s">
        <v>161</v>
      </c>
    </row>
    <row r="70" spans="1:1">
      <c r="A70"/>
    </row>
    <row r="71" ht="24" spans="1:1">
      <c r="A71" s="9" t="s">
        <v>162</v>
      </c>
    </row>
    <row r="72" spans="1:1">
      <c r="A72"/>
    </row>
    <row r="75" spans="1:1">
      <c r="A75" s="1" t="s">
        <v>163</v>
      </c>
    </row>
    <row r="76" spans="1:1">
      <c r="A76" s="1" t="s">
        <v>164</v>
      </c>
    </row>
    <row r="77" spans="1:1">
      <c r="A77" s="1" t="s">
        <v>165</v>
      </c>
    </row>
    <row r="78" spans="1:1">
      <c r="A78" s="1" t="s">
        <v>166</v>
      </c>
    </row>
    <row r="79" spans="1:1">
      <c r="A79" s="1" t="s">
        <v>167</v>
      </c>
    </row>
    <row r="81" ht="24" spans="1:1">
      <c r="A81" s="9" t="s">
        <v>168</v>
      </c>
    </row>
    <row r="82" spans="1:1">
      <c r="A82"/>
    </row>
    <row r="87" ht="45" spans="1:1">
      <c r="A87" s="1" t="s">
        <v>169</v>
      </c>
    </row>
    <row r="88" ht="30" spans="1:1">
      <c r="A88" s="1" t="s">
        <v>170</v>
      </c>
    </row>
    <row r="89" ht="45" spans="1:1">
      <c r="A89" s="1" t="s">
        <v>171</v>
      </c>
    </row>
    <row r="90" ht="30" spans="1:1">
      <c r="A90" s="1" t="s">
        <v>172</v>
      </c>
    </row>
    <row r="91" spans="1:1">
      <c r="A91"/>
    </row>
    <row r="92" ht="24" spans="1:1">
      <c r="A92" s="9" t="s">
        <v>173</v>
      </c>
    </row>
    <row r="93" spans="1:1">
      <c r="A93"/>
    </row>
    <row r="96" spans="1:1">
      <c r="A96" s="1" t="s">
        <v>174</v>
      </c>
    </row>
    <row r="97" spans="1:1">
      <c r="A97" s="1" t="s">
        <v>175</v>
      </c>
    </row>
    <row r="98" spans="1:1">
      <c r="A98" s="1" t="s">
        <v>176</v>
      </c>
    </row>
    <row r="99" ht="30" spans="1:1">
      <c r="A99" s="1" t="s">
        <v>177</v>
      </c>
    </row>
  </sheetData>
  <pageMargins left="0.7" right="0.7" top="0.75" bottom="0.75" header="0.511805555555555" footer="0.511805555555555"/>
  <pageSetup paperSize="9" firstPageNumber="0" orientation="portrait" useFirstPageNumber="1" horizontalDpi="300" verticalDpi="300"/>
  <headerFooter/>
  <drawing r:id="rId1"/>
</worksheet>
</file>

<file path=docProps/app.xml><?xml version="1.0" encoding="utf-8"?>
<Properties xmlns="http://schemas.openxmlformats.org/officeDocument/2006/extended-properties" xmlns:vt="http://schemas.openxmlformats.org/officeDocument/2006/docPropsVTypes">
  <Company>cesbio</Company>
  <Application>LibreOffice/5.1.6.2$Linux_X86_64 LibreOffice_project/10m0$Build-2</Application>
  <HeadingPairs>
    <vt:vector size="2" baseType="variant">
      <vt:variant>
        <vt:lpstr>工作表</vt:lpstr>
      </vt:variant>
      <vt:variant>
        <vt:i4>2</vt:i4>
      </vt:variant>
    </vt:vector>
  </HeadingPairs>
  <TitlesOfParts>
    <vt:vector size="2" baseType="lpstr">
      <vt:lpstr>SAMIR_ex_blé TLS</vt:lpstr>
      <vt:lpstr>Mode d'emploi</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dc:creator>
  <cp:lastModifiedBy>rivallandv</cp:lastModifiedBy>
  <cp:revision>0</cp:revision>
  <dcterms:created xsi:type="dcterms:W3CDTF">2015-03-26T10:28:00Z</dcterms:created>
  <dcterms:modified xsi:type="dcterms:W3CDTF">2023-08-02T17:44:34Z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cesbio</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
  </property>
  <property fmtid="{D5CDD505-2E9C-101B-9397-08002B2CF9AE}" pid="10" name="KSOProductBuildVer">
    <vt:lpwstr>1033-11.1.0.11691</vt:lpwstr>
  </property>
</Properties>
</file>